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tiff" ContentType="image/tiff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328"/>
  <workbookPr defaultThemeVersion="124226"/>
  <mc:AlternateContent xmlns:mc="http://schemas.openxmlformats.org/markup-compatibility/2006">
    <mc:Choice Requires="x15">
      <x15ac:absPath xmlns:x15ac="http://schemas.microsoft.com/office/spreadsheetml/2010/11/ac" url="L:\FAS\RD\Godkendelser\Quick Calc\"/>
    </mc:Choice>
  </mc:AlternateContent>
  <xr:revisionPtr revIDLastSave="0" documentId="13_ncr:1_{9386FD06-A1FC-4BCF-B4A9-0B01FD1608A3}" xr6:coauthVersionLast="47" xr6:coauthVersionMax="47" xr10:uidLastSave="{00000000-0000-0000-0000-000000000000}"/>
  <bookViews>
    <workbookView xWindow="-120" yWindow="-120" windowWidth="29040" windowHeight="15840" firstSheet="1" activeTab="3" xr2:uid="{00000000-000D-0000-FFFF-FFFF00000000}"/>
  </bookViews>
  <sheets>
    <sheet name="SIGMA Compact" sheetId="32" r:id="rId1"/>
    <sheet name="SIGMA Compact Flange" sheetId="33" r:id="rId2"/>
    <sheet name="OPTIMA Compact" sheetId="34" r:id="rId3"/>
    <sheet name="OPTIMA Compact Flanged" sheetId="37" r:id="rId4"/>
    <sheet name="Frese OPTIMA Compact HCR" sheetId="16" r:id="rId5"/>
    <sheet name="ALPHA" sheetId="21" r:id="rId6"/>
    <sheet name="ALPHA Wafer" sheetId="24" r:id="rId7"/>
    <sheet name="ALPHA Wafer HCR" sheetId="15" r:id="rId8"/>
    <sheet name="COMBIFLOW" sheetId="36" r:id="rId9"/>
  </sheets>
  <definedNames>
    <definedName name="_xlnm.Print_Area" localSheetId="4">'Frese OPTIMA Compact HCR'!$A$1:$J$25</definedName>
    <definedName name="_xlnm.Print_Area" localSheetId="2">'OPTIMA Compact'!$A$1:$J$36</definedName>
    <definedName name="_xlnm.Print_Area" localSheetId="3">'OPTIMA Compact Flanged'!$A$1:$J$46</definedName>
    <definedName name="_xlnm.Print_Area" localSheetId="0">'SIGMA Compact'!$A$1:$K$33</definedName>
    <definedName name="_xlnm.Print_Area" localSheetId="1">'SIGMA Compact Flange'!$A$1:$J$46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D77" i="37" l="1"/>
  <c r="D76" i="37"/>
  <c r="D35" i="37" s="1"/>
  <c r="D75" i="37"/>
  <c r="D74" i="37"/>
  <c r="E33" i="37" s="1"/>
  <c r="D73" i="37"/>
  <c r="D72" i="37"/>
  <c r="D71" i="37"/>
  <c r="D70" i="37"/>
  <c r="D69" i="37"/>
  <c r="D68" i="37"/>
  <c r="D67" i="37"/>
  <c r="D26" i="37" s="1"/>
  <c r="D66" i="37"/>
  <c r="E25" i="37" s="1"/>
  <c r="D65" i="37"/>
  <c r="D64" i="37"/>
  <c r="D63" i="37"/>
  <c r="D62" i="37"/>
  <c r="E21" i="37" s="1"/>
  <c r="D61" i="37"/>
  <c r="D60" i="37"/>
  <c r="D59" i="37"/>
  <c r="D58" i="37"/>
  <c r="D57" i="37"/>
  <c r="D56" i="37"/>
  <c r="D55" i="37"/>
  <c r="D14" i="37" s="1"/>
  <c r="D54" i="37"/>
  <c r="E13" i="37" s="1"/>
  <c r="D53" i="37"/>
  <c r="D52" i="37"/>
  <c r="D51" i="37"/>
  <c r="E36" i="37"/>
  <c r="D36" i="37"/>
  <c r="E35" i="37"/>
  <c r="E34" i="37"/>
  <c r="D34" i="37"/>
  <c r="D33" i="37"/>
  <c r="E32" i="37"/>
  <c r="D32" i="37"/>
  <c r="E31" i="37"/>
  <c r="D31" i="37"/>
  <c r="E30" i="37"/>
  <c r="D30" i="37"/>
  <c r="E29" i="37"/>
  <c r="D29" i="37"/>
  <c r="E28" i="37"/>
  <c r="D28" i="37"/>
  <c r="E27" i="37"/>
  <c r="D27" i="37"/>
  <c r="E26" i="37"/>
  <c r="E24" i="37"/>
  <c r="D24" i="37"/>
  <c r="E23" i="37"/>
  <c r="D23" i="37"/>
  <c r="E22" i="37"/>
  <c r="D22" i="37"/>
  <c r="D21" i="37"/>
  <c r="E20" i="37"/>
  <c r="D20" i="37"/>
  <c r="E19" i="37"/>
  <c r="D19" i="37"/>
  <c r="E18" i="37"/>
  <c r="D18" i="37"/>
  <c r="E17" i="37"/>
  <c r="D17" i="37"/>
  <c r="E16" i="37"/>
  <c r="D16" i="37"/>
  <c r="E15" i="37"/>
  <c r="D15" i="37"/>
  <c r="E14" i="37"/>
  <c r="E12" i="37"/>
  <c r="D12" i="37"/>
  <c r="E11" i="37"/>
  <c r="D11" i="37"/>
  <c r="E10" i="37"/>
  <c r="D10" i="37"/>
  <c r="E36" i="36"/>
  <c r="D36" i="36"/>
  <c r="C21" i="36" s="1"/>
  <c r="L35" i="36" a="1"/>
  <c r="L35" i="36" s="1"/>
  <c r="K35" i="36" a="1"/>
  <c r="K35" i="36" s="1"/>
  <c r="J35" i="36" a="1"/>
  <c r="J35" i="36" s="1"/>
  <c r="E35" i="36"/>
  <c r="E20" i="36" s="1"/>
  <c r="D35" i="36"/>
  <c r="C20" i="36" s="1"/>
  <c r="L34" i="36" a="1"/>
  <c r="L34" i="36" s="1"/>
  <c r="K34" i="36" a="1"/>
  <c r="K34" i="36" s="1"/>
  <c r="J34" i="36" a="1"/>
  <c r="J34" i="36" s="1"/>
  <c r="E34" i="36"/>
  <c r="G10" i="36" s="1"/>
  <c r="D34" i="36"/>
  <c r="B21" i="36"/>
  <c r="H12" i="36"/>
  <c r="F12" i="36"/>
  <c r="D12" i="36"/>
  <c r="F35" i="36" s="1"/>
  <c r="D54" i="34"/>
  <c r="E24" i="34" s="1"/>
  <c r="D53" i="34"/>
  <c r="E23" i="34" s="1"/>
  <c r="D52" i="34"/>
  <c r="D51" i="34"/>
  <c r="D21" i="34" s="1"/>
  <c r="D50" i="34"/>
  <c r="D49" i="34"/>
  <c r="D48" i="34"/>
  <c r="D47" i="34"/>
  <c r="E17" i="34" s="1"/>
  <c r="D46" i="34"/>
  <c r="D45" i="34"/>
  <c r="D44" i="34"/>
  <c r="E14" i="34" s="1"/>
  <c r="D43" i="34"/>
  <c r="D42" i="34"/>
  <c r="E12" i="34" s="1"/>
  <c r="D41" i="34"/>
  <c r="E11" i="34" s="1"/>
  <c r="D40" i="34"/>
  <c r="D10" i="34" s="1"/>
  <c r="D20" i="34"/>
  <c r="E20" i="34" s="1"/>
  <c r="D19" i="34"/>
  <c r="E19" i="34" s="1"/>
  <c r="E18" i="34"/>
  <c r="D18" i="34"/>
  <c r="E16" i="34"/>
  <c r="D16" i="34"/>
  <c r="E15" i="34"/>
  <c r="D15" i="34"/>
  <c r="D14" i="34"/>
  <c r="E13" i="34"/>
  <c r="D13" i="34"/>
  <c r="D77" i="33"/>
  <c r="E36" i="33" s="1"/>
  <c r="D76" i="33"/>
  <c r="D75" i="33"/>
  <c r="E34" i="33" s="1"/>
  <c r="D74" i="33"/>
  <c r="D73" i="33"/>
  <c r="D72" i="33"/>
  <c r="D71" i="33"/>
  <c r="D70" i="33"/>
  <c r="D69" i="33"/>
  <c r="D68" i="33"/>
  <c r="D67" i="33"/>
  <c r="D66" i="33"/>
  <c r="E25" i="33" s="1"/>
  <c r="D65" i="33"/>
  <c r="E24" i="33" s="1"/>
  <c r="D64" i="33"/>
  <c r="D63" i="33"/>
  <c r="E22" i="33" s="1"/>
  <c r="D62" i="33"/>
  <c r="D61" i="33"/>
  <c r="D60" i="33"/>
  <c r="D59" i="33"/>
  <c r="D58" i="33"/>
  <c r="D57" i="33"/>
  <c r="D56" i="33"/>
  <c r="D55" i="33"/>
  <c r="D54" i="33"/>
  <c r="E13" i="33" s="1"/>
  <c r="D53" i="33"/>
  <c r="E12" i="33" s="1"/>
  <c r="D52" i="33"/>
  <c r="D51" i="33"/>
  <c r="E10" i="33" s="1"/>
  <c r="E35" i="33"/>
  <c r="D35" i="33"/>
  <c r="E33" i="33"/>
  <c r="D33" i="33"/>
  <c r="E32" i="33"/>
  <c r="D32" i="33"/>
  <c r="E31" i="33"/>
  <c r="D31" i="33"/>
  <c r="D30" i="33"/>
  <c r="E30" i="33" s="1"/>
  <c r="D29" i="33"/>
  <c r="E29" i="33" s="1"/>
  <c r="E28" i="33"/>
  <c r="D28" i="33"/>
  <c r="E27" i="33"/>
  <c r="D27" i="33"/>
  <c r="E26" i="33"/>
  <c r="D26" i="33"/>
  <c r="D25" i="33"/>
  <c r="E23" i="33"/>
  <c r="D23" i="33"/>
  <c r="E21" i="33"/>
  <c r="D21" i="33"/>
  <c r="E20" i="33"/>
  <c r="D20" i="33"/>
  <c r="E19" i="33"/>
  <c r="D19" i="33"/>
  <c r="E18" i="33"/>
  <c r="D18" i="33"/>
  <c r="E17" i="33"/>
  <c r="D17" i="33"/>
  <c r="E16" i="33"/>
  <c r="D16" i="33"/>
  <c r="E15" i="33"/>
  <c r="D15" i="33"/>
  <c r="E14" i="33"/>
  <c r="D14" i="33"/>
  <c r="D13" i="33"/>
  <c r="E11" i="33"/>
  <c r="D11" i="33"/>
  <c r="D47" i="32"/>
  <c r="D46" i="32"/>
  <c r="D45" i="32"/>
  <c r="D44" i="32"/>
  <c r="D16" i="32" s="1"/>
  <c r="D43" i="32"/>
  <c r="D42" i="32"/>
  <c r="D41" i="32"/>
  <c r="D40" i="32"/>
  <c r="D39" i="32"/>
  <c r="D38" i="32"/>
  <c r="F19" i="32"/>
  <c r="E19" i="32"/>
  <c r="D19" i="32"/>
  <c r="F18" i="32"/>
  <c r="D18" i="32"/>
  <c r="E18" i="32" s="1"/>
  <c r="E17" i="32"/>
  <c r="D17" i="32"/>
  <c r="F17" i="32" s="1"/>
  <c r="F15" i="32"/>
  <c r="E15" i="32"/>
  <c r="D15" i="32"/>
  <c r="F14" i="32"/>
  <c r="D14" i="32"/>
  <c r="F13" i="32"/>
  <c r="D13" i="32"/>
  <c r="E13" i="32" s="1"/>
  <c r="D11" i="32"/>
  <c r="F11" i="32" s="1"/>
  <c r="D10" i="32"/>
  <c r="F10" i="32" s="1"/>
  <c r="D13" i="37" l="1"/>
  <c r="D25" i="37"/>
  <c r="C19" i="36"/>
  <c r="B19" i="36"/>
  <c r="H10" i="36"/>
  <c r="F10" i="36"/>
  <c r="D10" i="36"/>
  <c r="F33" i="36" s="1"/>
  <c r="I10" i="36"/>
  <c r="D19" i="36"/>
  <c r="E11" i="36"/>
  <c r="G34" i="36" s="1"/>
  <c r="D20" i="36"/>
  <c r="E21" i="36"/>
  <c r="I12" i="36"/>
  <c r="D21" i="36"/>
  <c r="G12" i="36"/>
  <c r="D11" i="36"/>
  <c r="F34" i="36" s="1"/>
  <c r="F11" i="36"/>
  <c r="G11" i="36"/>
  <c r="E19" i="36"/>
  <c r="H11" i="36"/>
  <c r="B20" i="36"/>
  <c r="I11" i="36"/>
  <c r="E10" i="36"/>
  <c r="G33" i="36" s="1"/>
  <c r="E12" i="36"/>
  <c r="G35" i="36" s="1"/>
  <c r="E21" i="34"/>
  <c r="D22" i="34"/>
  <c r="E22" i="34" s="1"/>
  <c r="E10" i="34"/>
  <c r="D11" i="34"/>
  <c r="D17" i="34"/>
  <c r="D23" i="34"/>
  <c r="D12" i="34"/>
  <c r="D24" i="34"/>
  <c r="D10" i="33"/>
  <c r="D22" i="33"/>
  <c r="D34" i="33"/>
  <c r="D12" i="33"/>
  <c r="D24" i="33"/>
  <c r="D36" i="33"/>
  <c r="F16" i="32"/>
  <c r="E16" i="32"/>
  <c r="E11" i="32"/>
  <c r="D12" i="32"/>
  <c r="E12" i="32" s="1"/>
  <c r="E10" i="32"/>
  <c r="F12" i="32" l="1"/>
  <c r="I99" i="24" l="1"/>
  <c r="H99" i="24"/>
  <c r="G99" i="24"/>
  <c r="I98" i="24"/>
  <c r="H98" i="24"/>
  <c r="G98" i="24"/>
  <c r="M45" i="24"/>
  <c r="I97" i="24"/>
  <c r="H97" i="24"/>
  <c r="G97" i="24"/>
  <c r="I96" i="24"/>
  <c r="H96" i="24"/>
  <c r="G96" i="24"/>
  <c r="I95" i="24"/>
  <c r="H95" i="24"/>
  <c r="J46" i="24"/>
  <c r="J6" i="24"/>
  <c r="G95" i="24"/>
  <c r="I94" i="24"/>
  <c r="H94" i="24"/>
  <c r="G94" i="24"/>
  <c r="I93" i="24"/>
  <c r="H93" i="24"/>
  <c r="G93" i="24"/>
  <c r="I92" i="24"/>
  <c r="H92" i="24"/>
  <c r="G92" i="24"/>
  <c r="I91" i="24"/>
  <c r="H91" i="24"/>
  <c r="G91" i="24"/>
  <c r="I90" i="24"/>
  <c r="H90" i="24"/>
  <c r="G90" i="24"/>
  <c r="I89" i="24"/>
  <c r="H89" i="24"/>
  <c r="G89" i="24"/>
  <c r="I88" i="24"/>
  <c r="H88" i="24"/>
  <c r="G88" i="24"/>
  <c r="I87" i="24"/>
  <c r="H87" i="24"/>
  <c r="G87" i="24"/>
  <c r="I86" i="24"/>
  <c r="H86" i="24"/>
  <c r="G86" i="24"/>
  <c r="I85" i="24"/>
  <c r="H85" i="24"/>
  <c r="G85" i="24"/>
  <c r="I84" i="24"/>
  <c r="H84" i="24"/>
  <c r="G84" i="24"/>
  <c r="I83" i="24"/>
  <c r="H83" i="24"/>
  <c r="G83" i="24"/>
  <c r="I82" i="24"/>
  <c r="H82" i="24"/>
  <c r="G82" i="24"/>
  <c r="I81" i="24"/>
  <c r="H81" i="24"/>
  <c r="G81" i="24"/>
  <c r="I80" i="24"/>
  <c r="H80" i="24"/>
  <c r="G80" i="24"/>
  <c r="I79" i="24"/>
  <c r="H79" i="24"/>
  <c r="G79" i="24"/>
  <c r="I78" i="24"/>
  <c r="H78" i="24"/>
  <c r="G78" i="24"/>
  <c r="I77" i="24"/>
  <c r="H77" i="24"/>
  <c r="G77" i="24"/>
  <c r="I76" i="24"/>
  <c r="H76" i="24"/>
  <c r="G76" i="24"/>
  <c r="I75" i="24"/>
  <c r="H75" i="24"/>
  <c r="G75" i="24"/>
  <c r="I74" i="24"/>
  <c r="H74" i="24"/>
  <c r="G74" i="24"/>
  <c r="I73" i="24"/>
  <c r="H73" i="24"/>
  <c r="G73" i="24"/>
  <c r="I72" i="24"/>
  <c r="H72" i="24"/>
  <c r="G72" i="24"/>
  <c r="I71" i="24"/>
  <c r="H71" i="24"/>
  <c r="G71" i="24"/>
  <c r="I70" i="24"/>
  <c r="H70" i="24"/>
  <c r="G70" i="24"/>
  <c r="I69" i="24"/>
  <c r="H69" i="24"/>
  <c r="G69" i="24"/>
  <c r="I68" i="24"/>
  <c r="H68" i="24"/>
  <c r="G68" i="24"/>
  <c r="I67" i="24"/>
  <c r="H67" i="24"/>
  <c r="G67" i="24"/>
  <c r="I66" i="24"/>
  <c r="H66" i="24"/>
  <c r="G66" i="24"/>
  <c r="I65" i="24"/>
  <c r="H65" i="24"/>
  <c r="G65" i="24"/>
  <c r="I64" i="24"/>
  <c r="H64" i="24"/>
  <c r="G64" i="24"/>
  <c r="I63" i="24"/>
  <c r="H63" i="24"/>
  <c r="G63" i="24"/>
  <c r="I62" i="24"/>
  <c r="H62" i="24"/>
  <c r="G62" i="24"/>
  <c r="I61" i="24"/>
  <c r="H61" i="24"/>
  <c r="G61" i="24"/>
  <c r="I60" i="24"/>
  <c r="H60" i="24"/>
  <c r="G60" i="24"/>
  <c r="I59" i="24"/>
  <c r="H59" i="24"/>
  <c r="G59" i="24"/>
  <c r="I58" i="24"/>
  <c r="H58" i="24"/>
  <c r="G58" i="24"/>
  <c r="I57" i="24"/>
  <c r="H57" i="24"/>
  <c r="G57" i="24"/>
  <c r="I56" i="24"/>
  <c r="H56" i="24"/>
  <c r="G56" i="24"/>
  <c r="G55" i="24"/>
  <c r="N46" i="24"/>
  <c r="O6" i="24"/>
  <c r="M46" i="24"/>
  <c r="M6" i="24"/>
  <c r="L46" i="24"/>
  <c r="L6" i="24"/>
  <c r="K46" i="24"/>
  <c r="G46" i="24"/>
  <c r="M8" i="24"/>
  <c r="K8" i="24"/>
  <c r="F46" i="24"/>
  <c r="L8" i="24"/>
  <c r="E46" i="24"/>
  <c r="J8" i="24"/>
  <c r="D46" i="24"/>
  <c r="I8" i="24"/>
  <c r="L45" i="24"/>
  <c r="K45" i="24"/>
  <c r="J45" i="24"/>
  <c r="G45" i="24"/>
  <c r="F45" i="24"/>
  <c r="E45" i="24"/>
  <c r="D45" i="24"/>
  <c r="H45" i="24"/>
  <c r="M44" i="24"/>
  <c r="L44" i="24"/>
  <c r="K44" i="24"/>
  <c r="J44" i="24"/>
  <c r="G44" i="24"/>
  <c r="F44" i="24"/>
  <c r="E44" i="24"/>
  <c r="D44" i="24"/>
  <c r="H44" i="24"/>
  <c r="M43" i="24"/>
  <c r="L43" i="24"/>
  <c r="K43" i="24"/>
  <c r="N43" i="24"/>
  <c r="J43" i="24"/>
  <c r="H43" i="24"/>
  <c r="G43" i="24"/>
  <c r="F43" i="24"/>
  <c r="E43" i="24"/>
  <c r="D43" i="24"/>
  <c r="M42" i="24"/>
  <c r="L42" i="24"/>
  <c r="K42" i="24"/>
  <c r="N42" i="24"/>
  <c r="J42" i="24"/>
  <c r="H42" i="24"/>
  <c r="G42" i="24"/>
  <c r="F42" i="24"/>
  <c r="E42" i="24"/>
  <c r="D42" i="24"/>
  <c r="O41" i="24"/>
  <c r="Q41" i="24"/>
  <c r="I41" i="24"/>
  <c r="R41" i="24"/>
  <c r="N41" i="24"/>
  <c r="M41" i="24"/>
  <c r="L41" i="24"/>
  <c r="K41" i="24"/>
  <c r="J41" i="24"/>
  <c r="H41" i="24"/>
  <c r="G41" i="24"/>
  <c r="F41" i="24"/>
  <c r="E41" i="24"/>
  <c r="D41" i="24"/>
  <c r="N40" i="24"/>
  <c r="O40" i="24"/>
  <c r="M40" i="24"/>
  <c r="L40" i="24"/>
  <c r="K40" i="24"/>
  <c r="J40" i="24"/>
  <c r="H40" i="24"/>
  <c r="G40" i="24"/>
  <c r="F40" i="24"/>
  <c r="E40" i="24"/>
  <c r="D40" i="24"/>
  <c r="N39" i="24"/>
  <c r="M39" i="24"/>
  <c r="L39" i="24"/>
  <c r="K39" i="24"/>
  <c r="J39" i="24"/>
  <c r="G39" i="24"/>
  <c r="F39" i="24"/>
  <c r="E39" i="24"/>
  <c r="D39" i="24"/>
  <c r="H39" i="24"/>
  <c r="N38" i="24"/>
  <c r="M38" i="24"/>
  <c r="L38" i="24"/>
  <c r="K38" i="24"/>
  <c r="J38" i="24"/>
  <c r="G38" i="24"/>
  <c r="F38" i="24"/>
  <c r="E38" i="24"/>
  <c r="D38" i="24"/>
  <c r="H38" i="24"/>
  <c r="M37" i="24"/>
  <c r="L37" i="24"/>
  <c r="K37" i="24"/>
  <c r="J37" i="24"/>
  <c r="G37" i="24"/>
  <c r="F37" i="24"/>
  <c r="E37" i="24"/>
  <c r="D37" i="24"/>
  <c r="H37" i="24"/>
  <c r="M36" i="24"/>
  <c r="L36" i="24"/>
  <c r="K36" i="24"/>
  <c r="J36" i="24"/>
  <c r="G36" i="24"/>
  <c r="F36" i="24"/>
  <c r="E36" i="24"/>
  <c r="D36" i="24"/>
  <c r="H36" i="24"/>
  <c r="M35" i="24"/>
  <c r="L35" i="24"/>
  <c r="K35" i="24"/>
  <c r="N35" i="24"/>
  <c r="J35" i="24"/>
  <c r="H35" i="24"/>
  <c r="G35" i="24"/>
  <c r="F35" i="24"/>
  <c r="E35" i="24"/>
  <c r="D35" i="24"/>
  <c r="M34" i="24"/>
  <c r="L34" i="24"/>
  <c r="K34" i="24"/>
  <c r="N34" i="24"/>
  <c r="J34" i="24"/>
  <c r="H34" i="24"/>
  <c r="G34" i="24"/>
  <c r="F34" i="24"/>
  <c r="E34" i="24"/>
  <c r="D34" i="24"/>
  <c r="O33" i="24"/>
  <c r="Q33" i="24"/>
  <c r="I33" i="24"/>
  <c r="R33" i="24"/>
  <c r="N33" i="24"/>
  <c r="M33" i="24"/>
  <c r="L33" i="24"/>
  <c r="K33" i="24"/>
  <c r="J33" i="24"/>
  <c r="H33" i="24"/>
  <c r="G33" i="24"/>
  <c r="F33" i="24"/>
  <c r="E33" i="24"/>
  <c r="D33" i="24"/>
  <c r="M32" i="24"/>
  <c r="L32" i="24"/>
  <c r="K32" i="24"/>
  <c r="I32" i="24"/>
  <c r="R32" i="24"/>
  <c r="J32" i="24"/>
  <c r="G32" i="24"/>
  <c r="F32" i="24"/>
  <c r="E32" i="24"/>
  <c r="D32" i="24"/>
  <c r="H32" i="24"/>
  <c r="R31" i="24"/>
  <c r="O31" i="24"/>
  <c r="M31" i="24"/>
  <c r="L31" i="24"/>
  <c r="K31" i="24"/>
  <c r="J31" i="24"/>
  <c r="I31" i="24"/>
  <c r="H31" i="24"/>
  <c r="G31" i="24"/>
  <c r="F31" i="24"/>
  <c r="E31" i="24"/>
  <c r="D31" i="24"/>
  <c r="M30" i="24"/>
  <c r="L30" i="24"/>
  <c r="K30" i="24"/>
  <c r="I30" i="24"/>
  <c r="R30" i="24"/>
  <c r="J30" i="24"/>
  <c r="G30" i="24"/>
  <c r="K59" i="24"/>
  <c r="F30" i="24"/>
  <c r="K58" i="24"/>
  <c r="E30" i="24"/>
  <c r="K57" i="24"/>
  <c r="D30" i="24"/>
  <c r="H30" i="24"/>
  <c r="D16" i="24"/>
  <c r="K6" i="24"/>
  <c r="I40" i="24"/>
  <c r="R40" i="24"/>
  <c r="P40" i="24"/>
  <c r="Q40" i="24"/>
  <c r="O42" i="24"/>
  <c r="P41" i="24"/>
  <c r="O46" i="24"/>
  <c r="K56" i="24"/>
  <c r="P33" i="24"/>
  <c r="O39" i="24"/>
  <c r="N37" i="24"/>
  <c r="N45" i="24"/>
  <c r="N36" i="24"/>
  <c r="N44" i="24"/>
  <c r="O45" i="24"/>
  <c r="H46" i="24"/>
  <c r="R8" i="24"/>
  <c r="O30" i="24"/>
  <c r="O32" i="24"/>
  <c r="O38" i="24"/>
  <c r="O37" i="24"/>
  <c r="O36" i="24"/>
  <c r="O44" i="24"/>
  <c r="O35" i="24"/>
  <c r="O43" i="24"/>
  <c r="O34" i="24"/>
  <c r="I36" i="24"/>
  <c r="R36" i="24"/>
  <c r="I37" i="24"/>
  <c r="R37" i="24"/>
  <c r="Q34" i="24"/>
  <c r="I34" i="24"/>
  <c r="R34" i="24"/>
  <c r="P34" i="24"/>
  <c r="Q46" i="24"/>
  <c r="P46" i="24"/>
  <c r="P6" i="24"/>
  <c r="P43" i="24"/>
  <c r="Q43" i="24"/>
  <c r="I43" i="24"/>
  <c r="R43" i="24"/>
  <c r="Q45" i="24"/>
  <c r="I45" i="24"/>
  <c r="R45" i="24"/>
  <c r="P45" i="24"/>
  <c r="Q44" i="24"/>
  <c r="I44" i="24"/>
  <c r="R44" i="24"/>
  <c r="P44" i="24"/>
  <c r="Q36" i="24"/>
  <c r="P36" i="24"/>
  <c r="Q37" i="24"/>
  <c r="P37" i="24"/>
  <c r="Q38" i="24"/>
  <c r="I38" i="24"/>
  <c r="R38" i="24"/>
  <c r="P38" i="24"/>
  <c r="P42" i="24"/>
  <c r="Q42" i="24"/>
  <c r="I42" i="24"/>
  <c r="R42" i="24"/>
  <c r="P35" i="24"/>
  <c r="Q35" i="24"/>
  <c r="I35" i="24"/>
  <c r="R35" i="24"/>
  <c r="P39" i="24"/>
  <c r="Q39" i="24"/>
  <c r="I39" i="24"/>
  <c r="R39" i="24"/>
  <c r="Q6" i="24"/>
  <c r="I46" i="24"/>
  <c r="R46" i="24"/>
  <c r="R6" i="24"/>
  <c r="I6" i="24"/>
  <c r="J7" i="21"/>
  <c r="N7" i="21"/>
  <c r="K7" i="21"/>
  <c r="L7" i="21"/>
  <c r="M9" i="21"/>
  <c r="H13" i="21"/>
  <c r="I13" i="21"/>
  <c r="J13" i="21"/>
  <c r="K13" i="21"/>
  <c r="L13" i="21"/>
  <c r="M13" i="21"/>
  <c r="D33" i="21"/>
  <c r="E33" i="21"/>
  <c r="F33" i="21"/>
  <c r="G33" i="21"/>
  <c r="H33" i="21"/>
  <c r="I33" i="21"/>
  <c r="J33" i="21"/>
  <c r="K33" i="21"/>
  <c r="D34" i="21"/>
  <c r="E34" i="21"/>
  <c r="F34" i="21"/>
  <c r="G34" i="21"/>
  <c r="H34" i="21"/>
  <c r="I34" i="21"/>
  <c r="J34" i="21"/>
  <c r="K34" i="21"/>
  <c r="D35" i="21"/>
  <c r="E35" i="21"/>
  <c r="F35" i="21"/>
  <c r="G35" i="21"/>
  <c r="H35" i="21"/>
  <c r="I35" i="21"/>
  <c r="J35" i="21"/>
  <c r="K35" i="21"/>
  <c r="D37" i="21"/>
  <c r="E37" i="21"/>
  <c r="F37" i="21"/>
  <c r="G37" i="21"/>
  <c r="H37" i="21"/>
  <c r="I37" i="21"/>
  <c r="J37" i="21"/>
  <c r="K37" i="21"/>
  <c r="D38" i="21"/>
  <c r="E38" i="21"/>
  <c r="F38" i="21"/>
  <c r="G38" i="21"/>
  <c r="H38" i="21"/>
  <c r="I38" i="21"/>
  <c r="J38" i="21"/>
  <c r="K38" i="21"/>
  <c r="D39" i="21"/>
  <c r="E39" i="21"/>
  <c r="F39" i="21"/>
  <c r="G39" i="21"/>
  <c r="H39" i="21"/>
  <c r="I39" i="21"/>
  <c r="J39" i="21"/>
  <c r="K39" i="21"/>
  <c r="D40" i="21"/>
  <c r="J9" i="21"/>
  <c r="N9" i="21"/>
  <c r="E40" i="21"/>
  <c r="K9" i="21"/>
  <c r="F40" i="21"/>
  <c r="L9" i="21"/>
  <c r="G40" i="21"/>
  <c r="H40" i="21"/>
  <c r="I40" i="21"/>
  <c r="J40" i="21"/>
  <c r="K40" i="21"/>
  <c r="M7" i="21"/>
  <c r="D30" i="16"/>
  <c r="D10" i="16" s="1"/>
  <c r="D31" i="16"/>
  <c r="D11" i="16" s="1"/>
  <c r="D32" i="16"/>
  <c r="D12" i="16" s="1"/>
  <c r="D33" i="16"/>
  <c r="D13" i="16" s="1"/>
  <c r="D34" i="16"/>
  <c r="D35" i="16"/>
  <c r="F30" i="15"/>
  <c r="F31" i="15"/>
  <c r="F32" i="15"/>
  <c r="G30" i="15"/>
  <c r="G31" i="15"/>
  <c r="G32" i="15"/>
  <c r="G33" i="15"/>
  <c r="G34" i="15"/>
  <c r="G35" i="15"/>
  <c r="G36" i="15"/>
  <c r="G37" i="15"/>
  <c r="G38" i="15"/>
  <c r="G39" i="15"/>
  <c r="G40" i="15"/>
  <c r="G41" i="15"/>
  <c r="G42" i="15"/>
  <c r="G43" i="15"/>
  <c r="G44" i="15"/>
  <c r="F33" i="15"/>
  <c r="F34" i="15"/>
  <c r="F35" i="15"/>
  <c r="F36" i="15"/>
  <c r="F37" i="15"/>
  <c r="F38" i="15"/>
  <c r="F39" i="15"/>
  <c r="F40" i="15"/>
  <c r="F41" i="15"/>
  <c r="F42" i="15"/>
  <c r="F43" i="15"/>
  <c r="F44" i="15"/>
  <c r="I80" i="15"/>
  <c r="H80" i="15"/>
  <c r="G80" i="15"/>
  <c r="D30" i="15"/>
  <c r="H30" i="15"/>
  <c r="E30" i="15"/>
  <c r="E31" i="15"/>
  <c r="E32" i="15"/>
  <c r="E33" i="15"/>
  <c r="E34" i="15"/>
  <c r="E35" i="15"/>
  <c r="E36" i="15"/>
  <c r="E37" i="15"/>
  <c r="E38" i="15"/>
  <c r="E39" i="15"/>
  <c r="E40" i="15"/>
  <c r="E41" i="15"/>
  <c r="E42" i="15"/>
  <c r="E43" i="15"/>
  <c r="E44" i="15"/>
  <c r="K30" i="15"/>
  <c r="K31" i="15"/>
  <c r="K32" i="15"/>
  <c r="D31" i="15"/>
  <c r="H31" i="15"/>
  <c r="D32" i="15"/>
  <c r="H32" i="15"/>
  <c r="D33" i="15"/>
  <c r="D16" i="15"/>
  <c r="H33" i="15"/>
  <c r="D34" i="15"/>
  <c r="I79" i="15"/>
  <c r="H79" i="15"/>
  <c r="G79" i="15"/>
  <c r="I78" i="15"/>
  <c r="H78" i="15"/>
  <c r="G78" i="15"/>
  <c r="I77" i="15"/>
  <c r="H77" i="15"/>
  <c r="G77" i="15"/>
  <c r="I76" i="15"/>
  <c r="H76" i="15"/>
  <c r="G76" i="15"/>
  <c r="I75" i="15"/>
  <c r="H75" i="15"/>
  <c r="G75" i="15"/>
  <c r="I74" i="15"/>
  <c r="H74" i="15"/>
  <c r="G74" i="15"/>
  <c r="I73" i="15"/>
  <c r="H73" i="15"/>
  <c r="G73" i="15"/>
  <c r="H71" i="15"/>
  <c r="I70" i="15"/>
  <c r="H70" i="15"/>
  <c r="G70" i="15"/>
  <c r="I55" i="15"/>
  <c r="H55" i="15"/>
  <c r="G55" i="15"/>
  <c r="I54" i="15"/>
  <c r="H54" i="15"/>
  <c r="G54" i="15"/>
  <c r="G53" i="15"/>
  <c r="L8" i="15"/>
  <c r="J8" i="15"/>
  <c r="K70" i="15"/>
  <c r="K56" i="15"/>
  <c r="K55" i="15"/>
  <c r="K54" i="15"/>
  <c r="M31" i="15"/>
  <c r="M30" i="15"/>
  <c r="M32" i="15"/>
  <c r="M33" i="15"/>
  <c r="M34" i="15"/>
  <c r="M35" i="15"/>
  <c r="M36" i="15"/>
  <c r="M37" i="15"/>
  <c r="M38" i="15"/>
  <c r="M39" i="15"/>
  <c r="M40" i="15"/>
  <c r="M41" i="15"/>
  <c r="M42" i="15"/>
  <c r="M43" i="15"/>
  <c r="M44" i="15"/>
  <c r="J32" i="15"/>
  <c r="J33" i="15"/>
  <c r="J34" i="15"/>
  <c r="J35" i="15"/>
  <c r="J36" i="15"/>
  <c r="J37" i="15"/>
  <c r="J38" i="15"/>
  <c r="J39" i="15"/>
  <c r="J40" i="15"/>
  <c r="J41" i="15"/>
  <c r="J42" i="15"/>
  <c r="J43" i="15"/>
  <c r="J44" i="15"/>
  <c r="J30" i="15"/>
  <c r="J31" i="15"/>
  <c r="L30" i="15"/>
  <c r="L32" i="15"/>
  <c r="L33" i="15"/>
  <c r="L34" i="15"/>
  <c r="L35" i="15"/>
  <c r="L36" i="15"/>
  <c r="L37" i="15"/>
  <c r="L38" i="15"/>
  <c r="L39" i="15"/>
  <c r="L40" i="15"/>
  <c r="L41" i="15"/>
  <c r="L42" i="15"/>
  <c r="L43" i="15"/>
  <c r="L44" i="15"/>
  <c r="L31" i="15"/>
  <c r="D35" i="15"/>
  <c r="H34" i="15"/>
  <c r="M8" i="15"/>
  <c r="I32" i="15"/>
  <c r="R32" i="15"/>
  <c r="O32" i="15"/>
  <c r="I30" i="15"/>
  <c r="R30" i="15"/>
  <c r="O30" i="15"/>
  <c r="I31" i="15"/>
  <c r="R31" i="15"/>
  <c r="O31" i="15"/>
  <c r="H35" i="15"/>
  <c r="D36" i="15"/>
  <c r="L6" i="15"/>
  <c r="J6" i="15"/>
  <c r="D37" i="15"/>
  <c r="H36" i="15"/>
  <c r="M6" i="15"/>
  <c r="M94" i="15"/>
  <c r="H37" i="15"/>
  <c r="D38" i="15"/>
  <c r="K33" i="15"/>
  <c r="K34" i="15"/>
  <c r="K35" i="15"/>
  <c r="K36" i="15"/>
  <c r="K37" i="15"/>
  <c r="K38" i="15"/>
  <c r="H38" i="15"/>
  <c r="D39" i="15"/>
  <c r="O38" i="15"/>
  <c r="K39" i="15"/>
  <c r="K40" i="15"/>
  <c r="K41" i="15"/>
  <c r="K6" i="15"/>
  <c r="O35" i="15"/>
  <c r="O34" i="15"/>
  <c r="O36" i="15"/>
  <c r="N33" i="15"/>
  <c r="N34" i="15"/>
  <c r="N35" i="15"/>
  <c r="N36" i="15"/>
  <c r="N37" i="15"/>
  <c r="N38" i="15"/>
  <c r="O33" i="15"/>
  <c r="Q33" i="15"/>
  <c r="O37" i="15"/>
  <c r="O40" i="15"/>
  <c r="H39" i="15"/>
  <c r="D40" i="15"/>
  <c r="N39" i="15"/>
  <c r="N40" i="15"/>
  <c r="N41" i="15"/>
  <c r="O6" i="15"/>
  <c r="O39" i="15"/>
  <c r="Q34" i="15"/>
  <c r="Q35" i="15"/>
  <c r="Q36" i="15"/>
  <c r="Q37" i="15"/>
  <c r="Q38" i="15"/>
  <c r="O41" i="15"/>
  <c r="K42" i="15"/>
  <c r="P33" i="15"/>
  <c r="I33" i="15"/>
  <c r="R33" i="15"/>
  <c r="Q39" i="15"/>
  <c r="Q40" i="15"/>
  <c r="I40" i="15"/>
  <c r="R40" i="15"/>
  <c r="D41" i="15"/>
  <c r="I8" i="15"/>
  <c r="K8" i="15"/>
  <c r="H40" i="15"/>
  <c r="O42" i="15"/>
  <c r="K43" i="15"/>
  <c r="P34" i="15"/>
  <c r="P35" i="15"/>
  <c r="P36" i="15"/>
  <c r="P37" i="15"/>
  <c r="P38" i="15"/>
  <c r="N42" i="15"/>
  <c r="Q41" i="15"/>
  <c r="Q6" i="15"/>
  <c r="D42" i="15"/>
  <c r="H41" i="15"/>
  <c r="R8" i="15"/>
  <c r="N43" i="15"/>
  <c r="K44" i="15"/>
  <c r="O44" i="15"/>
  <c r="O43" i="15"/>
  <c r="P39" i="15"/>
  <c r="P40" i="15"/>
  <c r="P41" i="15"/>
  <c r="I34" i="15"/>
  <c r="R34" i="15"/>
  <c r="Q42" i="15"/>
  <c r="I42" i="15"/>
  <c r="R42" i="15"/>
  <c r="D43" i="15"/>
  <c r="H42" i="15"/>
  <c r="N44" i="15"/>
  <c r="P6" i="15"/>
  <c r="P42" i="15"/>
  <c r="P43" i="15"/>
  <c r="I41" i="15"/>
  <c r="I35" i="15"/>
  <c r="R35" i="15"/>
  <c r="Q43" i="15"/>
  <c r="Q44" i="15"/>
  <c r="I44" i="15"/>
  <c r="R44" i="15"/>
  <c r="H43" i="15"/>
  <c r="D44" i="15"/>
  <c r="H44" i="15"/>
  <c r="R41" i="15"/>
  <c r="P44" i="15"/>
  <c r="I36" i="15"/>
  <c r="R36" i="15"/>
  <c r="I43" i="15"/>
  <c r="R43" i="15"/>
  <c r="I37" i="15"/>
  <c r="R37" i="15"/>
  <c r="I38" i="15"/>
  <c r="I39" i="15"/>
  <c r="R39" i="15"/>
  <c r="R38" i="15"/>
  <c r="R6" i="15"/>
  <c r="I6" i="15"/>
  <c r="D15" i="16" l="1"/>
  <c r="E15" i="16" s="1"/>
  <c r="D14" i="16"/>
  <c r="E14" i="16" s="1"/>
  <c r="E10" i="16"/>
  <c r="E11" i="16"/>
  <c r="E12" i="16"/>
  <c r="E13" i="16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<sst xmlns="http://schemas.openxmlformats.org/spreadsheetml/2006/main" count="1406" uniqueCount="635">
  <si>
    <t>Min</t>
  </si>
  <si>
    <t>Input</t>
  </si>
  <si>
    <t>Dim.</t>
  </si>
  <si>
    <t>Input Q =</t>
  </si>
  <si>
    <t>DP</t>
  </si>
  <si>
    <t>Vare nr.</t>
  </si>
  <si>
    <t>L/h</t>
  </si>
  <si>
    <t>Grosser</t>
  </si>
  <si>
    <t>Kleiner</t>
  </si>
  <si>
    <t>kPa</t>
  </si>
  <si>
    <t>DN</t>
  </si>
  <si>
    <t>Strom</t>
  </si>
  <si>
    <t>Art.-Nr.</t>
  </si>
  <si>
    <t xml:space="preserve">Min. ΔP </t>
  </si>
  <si>
    <t>Vol.-</t>
  </si>
  <si>
    <t>Ventil</t>
  </si>
  <si>
    <t>Flow</t>
  </si>
  <si>
    <t>Einsatz</t>
  </si>
  <si>
    <t>m³/h Flow</t>
  </si>
  <si>
    <t>m³/h</t>
  </si>
  <si>
    <t>Berechnungen  Nächst kleiner Volumenstrom :</t>
  </si>
  <si>
    <t>Berechnungen  Nächst größer Volumenstrom :</t>
  </si>
  <si>
    <t>Vol.-Ber.</t>
  </si>
  <si>
    <t>Anzahl</t>
  </si>
  <si>
    <t>Vol.-Str</t>
  </si>
  <si>
    <t xml:space="preserve">Min ΔP </t>
  </si>
  <si>
    <t>Vol.-Strom</t>
  </si>
  <si>
    <t>Ist/Soll</t>
  </si>
  <si>
    <t>Anz</t>
  </si>
  <si>
    <t>Rest</t>
  </si>
  <si>
    <t>Einsätze</t>
  </si>
  <si>
    <t>Abw.</t>
  </si>
  <si>
    <t>Eins</t>
  </si>
  <si>
    <t>Regler Komplett</t>
  </si>
  <si>
    <t xml:space="preserve">   Regler Komplett</t>
  </si>
  <si>
    <t>Eins.</t>
  </si>
  <si>
    <t>'=((SVERWEIS(($D$5/$C17);$D$40:$F$84;1)*C17))</t>
  </si>
  <si>
    <t>Flow &gt;</t>
  </si>
  <si>
    <t>=((SVERWEIS(($D$5/$C22);$C$38:$I$81;1)*(C22-1)))</t>
  </si>
  <si>
    <t>'=WENN($D$5/$C23&lt;3,8;SVERWEIS(($D$5/$C22);$D$40:$F$84;1);SVERWEIS(($D$5/$C23);$D$40:$F$84;1))</t>
  </si>
  <si>
    <t>Korrektion til slut :</t>
  </si>
  <si>
    <t>'=WENN($D$5/$C24&lt;3,8;D23;SVERWEIS(($D$5/$C24);$D$40:$F$84;1))</t>
  </si>
  <si>
    <t>Spalte D:H Min el slettes</t>
  </si>
  <si>
    <t>DN50-DN800</t>
  </si>
  <si>
    <t>WENN(Prüfung;Dann_Wert; WENN(Prüfung;Dann_Wert;Sonst_Wert))</t>
  </si>
  <si>
    <t>SVERWEIS(Suchkriterium;Matrix;Spalteindex;Bereich_Verweis)</t>
  </si>
  <si>
    <t>D</t>
  </si>
  <si>
    <t>E</t>
  </si>
  <si>
    <t>'=SVERWEIS(($D$5/$C17);$D$40:$F$84;2)</t>
  </si>
  <si>
    <t>F</t>
  </si>
  <si>
    <t>'=SVERWEIS(($D$5/$C17);$D$40:$F$84;3)</t>
  </si>
  <si>
    <t>G</t>
  </si>
  <si>
    <t>'=SVERWEIS(($D$5/$C17);$D$40:$F$84;1)</t>
  </si>
  <si>
    <t>Art.-Nr. Gehäuse</t>
  </si>
  <si>
    <t>with selected Valve dimension (DN)</t>
  </si>
  <si>
    <t>Item no.</t>
  </si>
  <si>
    <t>Deviation</t>
  </si>
  <si>
    <t>Nearest higher Flow</t>
  </si>
  <si>
    <t>Nearest lower Flow</t>
  </si>
  <si>
    <t>Input DN =</t>
  </si>
  <si>
    <t>Valve</t>
  </si>
  <si>
    <t>Dimension Valve house DN</t>
  </si>
  <si>
    <t>Item no. Valve house</t>
  </si>
  <si>
    <t>Qty</t>
  </si>
  <si>
    <t>CARTRIDGE SELECTION</t>
  </si>
  <si>
    <t>Cartriges</t>
  </si>
  <si>
    <t>Cartridges</t>
  </si>
  <si>
    <t>Selection program Frese ALPHA HCR Wafer Dynamic Balancing Valve</t>
  </si>
  <si>
    <t>4,0 - 48,0</t>
  </si>
  <si>
    <t>4,0 - 96,0</t>
  </si>
  <si>
    <t>4,0 - 144,0</t>
  </si>
  <si>
    <t>4,0 - 192,0</t>
  </si>
  <si>
    <t>4,0 - 336,0</t>
  </si>
  <si>
    <t>4,0 - 576,0</t>
  </si>
  <si>
    <t>4,0 - 720,0</t>
  </si>
  <si>
    <t>4,0 - 912,0</t>
  </si>
  <si>
    <t>4,0 - 1248,0</t>
  </si>
  <si>
    <t>4,0 - 1584,0</t>
  </si>
  <si>
    <t>Cartridge Type HCR</t>
  </si>
  <si>
    <t>PPS 40% glass-reinforced</t>
  </si>
  <si>
    <t>ΔP range:  47 - 600 kPa</t>
  </si>
  <si>
    <t>58-9083</t>
  </si>
  <si>
    <t>58-9093</t>
  </si>
  <si>
    <t>58-9103</t>
  </si>
  <si>
    <t>58-9163</t>
  </si>
  <si>
    <t>58-9113</t>
  </si>
  <si>
    <t>58-9123</t>
  </si>
  <si>
    <t>58-9133</t>
  </si>
  <si>
    <t>58-9143</t>
  </si>
  <si>
    <t>58-9153</t>
  </si>
  <si>
    <t>58-9173</t>
  </si>
  <si>
    <t>58-9183</t>
  </si>
  <si>
    <t>58-9073</t>
  </si>
  <si>
    <t>58-65120</t>
  </si>
  <si>
    <t>58-65175</t>
  </si>
  <si>
    <t>58-65365</t>
  </si>
  <si>
    <t>58-65385</t>
  </si>
  <si>
    <t>58-65409</t>
  </si>
  <si>
    <t>58-65413</t>
  </si>
  <si>
    <t>58-65417</t>
  </si>
  <si>
    <t>58-65420</t>
  </si>
  <si>
    <t>58-65425</t>
  </si>
  <si>
    <t>58-65430</t>
  </si>
  <si>
    <t>58-65433</t>
  </si>
  <si>
    <t>58-65440</t>
  </si>
  <si>
    <t>Antal stor indsatse</t>
  </si>
  <si>
    <t>58-65200</t>
  </si>
  <si>
    <t>58-65240</t>
  </si>
  <si>
    <t>58-65280</t>
  </si>
  <si>
    <t>58-65320</t>
  </si>
  <si>
    <t>58-65252</t>
  </si>
  <si>
    <t>58-65264</t>
  </si>
  <si>
    <t>58-65274</t>
  </si>
  <si>
    <t>58-65303</t>
  </si>
  <si>
    <t>58-65313</t>
  </si>
  <si>
    <t>58-65333</t>
  </si>
  <si>
    <t>58-65341</t>
  </si>
  <si>
    <t>58-65349</t>
  </si>
  <si>
    <t>58-65356</t>
  </si>
  <si>
    <t>58-65396</t>
  </si>
  <si>
    <t>QUICK - CALC Frese ALPHA HCR Wafer with composite cartridges</t>
  </si>
  <si>
    <t>DN80 High Flow</t>
  </si>
  <si>
    <t>DN65 High Flow</t>
  </si>
  <si>
    <t>DN50 High Flow</t>
  </si>
  <si>
    <t>Evaluering af Flow</t>
  </si>
  <si>
    <t>Max</t>
  </si>
  <si>
    <t>Type</t>
  </si>
  <si>
    <t xml:space="preserve">Range ∆Pp is defined from Min. Pump pressure (Min. ∆Pp) to Max. Pump pressure (Max.∆Pp) .    </t>
  </si>
  <si>
    <t>30-800</t>
  </si>
  <si>
    <t>23-800</t>
  </si>
  <si>
    <t>19-800</t>
  </si>
  <si>
    <t>Min. ∆P (kPa)</t>
  </si>
  <si>
    <t>Pre-set</t>
  </si>
  <si>
    <t>Range ∆Pp(kPa)</t>
  </si>
  <si>
    <t>Flow (m3/h)</t>
  </si>
  <si>
    <t>Calculation</t>
  </si>
  <si>
    <t>Range</t>
  </si>
  <si>
    <t>Dimension</t>
  </si>
  <si>
    <t>(m3/h) Flow</t>
  </si>
  <si>
    <t>Input    Q =</t>
  </si>
  <si>
    <t>QUICK - CALC Frese OPTIMA HCR</t>
  </si>
  <si>
    <t>Setting &amp; Selection program Frese OPTIMA HCR Pressure Independent Control Valve</t>
  </si>
  <si>
    <t>DN40</t>
  </si>
  <si>
    <t>30-600</t>
  </si>
  <si>
    <t>DN15 &amp; DN20</t>
  </si>
  <si>
    <t>DN25 &amp; DN32</t>
  </si>
  <si>
    <t>0.525 - 2.000</t>
  </si>
  <si>
    <t>0.850 - 4.100</t>
  </si>
  <si>
    <t>2.000 - 9.500</t>
  </si>
  <si>
    <t>3.920 - 24.000</t>
  </si>
  <si>
    <t>5.950 - 35.000</t>
  </si>
  <si>
    <t>7.020 - 43.000</t>
  </si>
  <si>
    <t xml:space="preserve">DN50 </t>
  </si>
  <si>
    <t xml:space="preserve">DN40 </t>
  </si>
  <si>
    <t xml:space="preserve">DN32 </t>
  </si>
  <si>
    <t>DN25L (53-2204 withdrawn)</t>
  </si>
  <si>
    <t>DN25 HF</t>
  </si>
  <si>
    <t>DN25 LF</t>
  </si>
  <si>
    <t>DN20 HF</t>
  </si>
  <si>
    <t>DN20 LF</t>
  </si>
  <si>
    <t>DN15 HF</t>
  </si>
  <si>
    <t>DN15 LF</t>
  </si>
  <si>
    <t xml:space="preserve">Range ∆Pp is defined from Min. Pump pressure (Min. ∆Pp) to Max. Pump pressure (Max.∆Pp) .   </t>
  </si>
  <si>
    <t>10-400</t>
  </si>
  <si>
    <t>900-10350</t>
  </si>
  <si>
    <t>719-7400</t>
  </si>
  <si>
    <t>15-400</t>
  </si>
  <si>
    <t>200-5000</t>
  </si>
  <si>
    <t>17-400</t>
  </si>
  <si>
    <t>150-1930</t>
  </si>
  <si>
    <t>14-400</t>
  </si>
  <si>
    <t>137-2400</t>
  </si>
  <si>
    <t>DN25 High</t>
  </si>
  <si>
    <t>95-2000</t>
  </si>
  <si>
    <t>DN25 Low</t>
  </si>
  <si>
    <t>16-400</t>
  </si>
  <si>
    <t>102-1930</t>
  </si>
  <si>
    <t>DN20 High</t>
  </si>
  <si>
    <t>9-400</t>
  </si>
  <si>
    <t>86-1550</t>
  </si>
  <si>
    <t>DN20 Low</t>
  </si>
  <si>
    <t>60-1080</t>
  </si>
  <si>
    <t>DN15 High</t>
  </si>
  <si>
    <t>40-900</t>
  </si>
  <si>
    <t>DN15 Low</t>
  </si>
  <si>
    <t>Kv</t>
  </si>
  <si>
    <t>Range ∆Pp (kPa)</t>
  </si>
  <si>
    <t>Flow (l/h)</t>
  </si>
  <si>
    <t>(l/h) Flow</t>
  </si>
  <si>
    <t>Input         Q =</t>
  </si>
  <si>
    <t>15-800</t>
  </si>
  <si>
    <t>245.0-600.0</t>
  </si>
  <si>
    <t>10-800</t>
  </si>
  <si>
    <t>190.0-475.0</t>
  </si>
  <si>
    <t>31-800</t>
  </si>
  <si>
    <t>130.0-280.0</t>
  </si>
  <si>
    <t>11-800</t>
  </si>
  <si>
    <t>95.0-210.0</t>
  </si>
  <si>
    <t>33-800</t>
  </si>
  <si>
    <t>32.0-195.0</t>
  </si>
  <si>
    <t>21-800</t>
  </si>
  <si>
    <t>25.6-148.0</t>
  </si>
  <si>
    <t>27-800</t>
  </si>
  <si>
    <t>23.0-135.0</t>
  </si>
  <si>
    <t>16-800</t>
  </si>
  <si>
    <t>18.5-110.0</t>
  </si>
  <si>
    <t>14.80-90.00</t>
  </si>
  <si>
    <t>20-800</t>
  </si>
  <si>
    <t>12.10-68.00</t>
  </si>
  <si>
    <t>7.02-43.00</t>
  </si>
  <si>
    <t>5.34-34.00</t>
  </si>
  <si>
    <t>5.95-35.00</t>
  </si>
  <si>
    <t>4.38-25.00</t>
  </si>
  <si>
    <t>3.92-24.00</t>
  </si>
  <si>
    <t>7-800</t>
  </si>
  <si>
    <t>2.48-15.00</t>
  </si>
  <si>
    <t>DN50</t>
  </si>
  <si>
    <t>DN32</t>
  </si>
  <si>
    <t>DN25L High 5,5</t>
  </si>
  <si>
    <t>DN25 Low 5,5</t>
  </si>
  <si>
    <t>DN20 High 5,5</t>
  </si>
  <si>
    <t>DN20 High 5,0</t>
  </si>
  <si>
    <t>DN20 High 4,0</t>
  </si>
  <si>
    <t>DN20 High 2,5</t>
  </si>
  <si>
    <t>DN15 High 5,0</t>
  </si>
  <si>
    <t>DN15 High 2,5</t>
  </si>
  <si>
    <t>DN15 Low 5,0</t>
  </si>
  <si>
    <t>DN15 Low 2,5</t>
  </si>
  <si>
    <t>DN10 Low 5,0</t>
  </si>
  <si>
    <t>DN10 Low 2,5</t>
  </si>
  <si>
    <t>1400-11500</t>
  </si>
  <si>
    <t>1370-9500</t>
  </si>
  <si>
    <t>18-800</t>
  </si>
  <si>
    <t>550-4001</t>
  </si>
  <si>
    <t>17-800</t>
  </si>
  <si>
    <t>600-3609</t>
  </si>
  <si>
    <t>280-1800</t>
  </si>
  <si>
    <t>300-1800</t>
  </si>
  <si>
    <t>220-1330</t>
  </si>
  <si>
    <t>160-990</t>
  </si>
  <si>
    <t>100-575</t>
  </si>
  <si>
    <t>14-800</t>
  </si>
  <si>
    <t>65-370</t>
  </si>
  <si>
    <t>30-200</t>
  </si>
  <si>
    <t>49-44262</t>
  </si>
  <si>
    <t>50-44262</t>
  </si>
  <si>
    <t>49-44250</t>
  </si>
  <si>
    <t>50-44250</t>
  </si>
  <si>
    <t>49-44248</t>
  </si>
  <si>
    <t>50-44248</t>
  </si>
  <si>
    <t>49-44241</t>
  </si>
  <si>
    <t>50-44241</t>
  </si>
  <si>
    <t>49-44235</t>
  </si>
  <si>
    <t>50-44235</t>
  </si>
  <si>
    <t>49-44229</t>
  </si>
  <si>
    <t>50-44229</t>
  </si>
  <si>
    <t>49-44222</t>
  </si>
  <si>
    <t>50-44222</t>
  </si>
  <si>
    <t>49-21090</t>
  </si>
  <si>
    <t>50-21090</t>
  </si>
  <si>
    <t>49-44217</t>
  </si>
  <si>
    <t>50-44217</t>
  </si>
  <si>
    <t>49-21060</t>
  </si>
  <si>
    <t>50-21060</t>
  </si>
  <si>
    <t>49-44211</t>
  </si>
  <si>
    <t>50-44211</t>
  </si>
  <si>
    <t>49-21030</t>
  </si>
  <si>
    <t>50-21030</t>
  </si>
  <si>
    <t>49-44205</t>
  </si>
  <si>
    <t>50-44205</t>
  </si>
  <si>
    <t>49-20990</t>
  </si>
  <si>
    <t>50-20990</t>
  </si>
  <si>
    <t>49-44200</t>
  </si>
  <si>
    <t>50-44200</t>
  </si>
  <si>
    <t>49-20940</t>
  </si>
  <si>
    <t>50-20940</t>
  </si>
  <si>
    <t>49-44194</t>
  </si>
  <si>
    <t>50-44194</t>
  </si>
  <si>
    <t>49-20920</t>
  </si>
  <si>
    <t>50-20920</t>
  </si>
  <si>
    <t>49-44191</t>
  </si>
  <si>
    <t>50-44191</t>
  </si>
  <si>
    <t>49-20880</t>
  </si>
  <si>
    <t>50-20880</t>
  </si>
  <si>
    <t>49-44182</t>
  </si>
  <si>
    <t>50-44182</t>
  </si>
  <si>
    <t>49-20860</t>
  </si>
  <si>
    <t>50-20860</t>
  </si>
  <si>
    <t>49-44176</t>
  </si>
  <si>
    <t>50-44176</t>
  </si>
  <si>
    <t>49-20820</t>
  </si>
  <si>
    <t>50-20820</t>
  </si>
  <si>
    <t>49-44173</t>
  </si>
  <si>
    <t>50-44173</t>
  </si>
  <si>
    <t>49-20770</t>
  </si>
  <si>
    <t>50-20770</t>
  </si>
  <si>
    <t>49-44168</t>
  </si>
  <si>
    <t>50-44168</t>
  </si>
  <si>
    <t>49-20740</t>
  </si>
  <si>
    <t>50-20740</t>
  </si>
  <si>
    <t>49-44164</t>
  </si>
  <si>
    <t>50-44164</t>
  </si>
  <si>
    <t>49-20700</t>
  </si>
  <si>
    <t>50-20700</t>
  </si>
  <si>
    <t>49-44156</t>
  </si>
  <si>
    <t>50-44156</t>
  </si>
  <si>
    <t>49-11750</t>
  </si>
  <si>
    <t>50-11750</t>
  </si>
  <si>
    <t>49-44152</t>
  </si>
  <si>
    <t>50-44152</t>
  </si>
  <si>
    <t>49-11745</t>
  </si>
  <si>
    <t>50-11745</t>
  </si>
  <si>
    <t>49-44148</t>
  </si>
  <si>
    <t>50-44148</t>
  </si>
  <si>
    <t>49-11740</t>
  </si>
  <si>
    <t>50-11740</t>
  </si>
  <si>
    <t>49-33163</t>
  </si>
  <si>
    <t>50-33163</t>
  </si>
  <si>
    <t>49-11735</t>
  </si>
  <si>
    <t>50-11735</t>
  </si>
  <si>
    <t>49-33161</t>
  </si>
  <si>
    <t>50-33161</t>
  </si>
  <si>
    <t>49-11730</t>
  </si>
  <si>
    <t>50-11730</t>
  </si>
  <si>
    <t>49-33156</t>
  </si>
  <si>
    <t>50-33156</t>
  </si>
  <si>
    <t>49-11725</t>
  </si>
  <si>
    <t>50-11725</t>
  </si>
  <si>
    <t>49-33148</t>
  </si>
  <si>
    <t>50-33148</t>
  </si>
  <si>
    <t>49-11620</t>
  </si>
  <si>
    <t>50-11620</t>
  </si>
  <si>
    <t>49-33142</t>
  </si>
  <si>
    <t>50-33142</t>
  </si>
  <si>
    <t>49-11570</t>
  </si>
  <si>
    <t>50-11570</t>
  </si>
  <si>
    <t>49-33138</t>
  </si>
  <si>
    <t>50-33138</t>
  </si>
  <si>
    <t>49-11540</t>
  </si>
  <si>
    <t>50-11540</t>
  </si>
  <si>
    <t>49-33135</t>
  </si>
  <si>
    <t>50-33135</t>
  </si>
  <si>
    <t>49-11510</t>
  </si>
  <si>
    <t>50-11510</t>
  </si>
  <si>
    <t>49-33132</t>
  </si>
  <si>
    <t>50-33132</t>
  </si>
  <si>
    <t>49-11490</t>
  </si>
  <si>
    <t>50-11490</t>
  </si>
  <si>
    <t>49-33129</t>
  </si>
  <si>
    <t>50-33129</t>
  </si>
  <si>
    <t>49-11460</t>
  </si>
  <si>
    <t>50-11460</t>
  </si>
  <si>
    <t>49-33125</t>
  </si>
  <si>
    <t>50-33125</t>
  </si>
  <si>
    <t>49-11430</t>
  </si>
  <si>
    <t>50-11430</t>
  </si>
  <si>
    <t>49-33124</t>
  </si>
  <si>
    <t>50-33124</t>
  </si>
  <si>
    <t>49-11400</t>
  </si>
  <si>
    <t>50-11400</t>
  </si>
  <si>
    <t>49-33118</t>
  </si>
  <si>
    <t>50-33118</t>
  </si>
  <si>
    <t>49-11370</t>
  </si>
  <si>
    <t>50-11370</t>
  </si>
  <si>
    <t>49-33112</t>
  </si>
  <si>
    <t>50-33112</t>
  </si>
  <si>
    <t>49-11350</t>
  </si>
  <si>
    <t>50-11350</t>
  </si>
  <si>
    <t>49-33111</t>
  </si>
  <si>
    <t>50-33111</t>
  </si>
  <si>
    <t>49-11320</t>
  </si>
  <si>
    <t>50-11320</t>
  </si>
  <si>
    <t>49-33107</t>
  </si>
  <si>
    <t>50-33107</t>
  </si>
  <si>
    <t>49-11300</t>
  </si>
  <si>
    <t>50-11300</t>
  </si>
  <si>
    <t>49-33102</t>
  </si>
  <si>
    <t>50-33102</t>
  </si>
  <si>
    <t>49-11290</t>
  </si>
  <si>
    <t>50-11290</t>
  </si>
  <si>
    <t>49-33098</t>
  </si>
  <si>
    <t>50-33098</t>
  </si>
  <si>
    <t>49-11260</t>
  </si>
  <si>
    <t>50-11260</t>
  </si>
  <si>
    <t>49-33096</t>
  </si>
  <si>
    <t>50-33096</t>
  </si>
  <si>
    <t>49-11230</t>
  </si>
  <si>
    <t>50-11230</t>
  </si>
  <si>
    <t>49-33094</t>
  </si>
  <si>
    <t>50-33094</t>
  </si>
  <si>
    <t>49-11210</t>
  </si>
  <si>
    <t>50-11210</t>
  </si>
  <si>
    <t>49-33089</t>
  </si>
  <si>
    <t>50-33089</t>
  </si>
  <si>
    <t>N/A</t>
  </si>
  <si>
    <t>50-11190</t>
  </si>
  <si>
    <t>49-33082</t>
  </si>
  <si>
    <t>50-33082</t>
  </si>
  <si>
    <t>50-11170</t>
  </si>
  <si>
    <t>49-33073</t>
  </si>
  <si>
    <t>50-33073</t>
  </si>
  <si>
    <t>50-11150</t>
  </si>
  <si>
    <t>HP</t>
  </si>
  <si>
    <t>LP</t>
  </si>
  <si>
    <t>Der Regelbereich = S ….</t>
  </si>
  <si>
    <t>Gehäuse sind mit Stopfen, Druckmessnippel oder Füll- und Entleerungskugelhahn</t>
  </si>
  <si>
    <t>DN25L-DN50</t>
  </si>
  <si>
    <t>DN15-DN25</t>
  </si>
  <si>
    <t>49-9061</t>
  </si>
  <si>
    <t>49-9064</t>
  </si>
  <si>
    <t>49-9066</t>
  </si>
  <si>
    <t>674-11355</t>
  </si>
  <si>
    <t>49-9051</t>
  </si>
  <si>
    <t>49-9054</t>
  </si>
  <si>
    <t>49-9056</t>
  </si>
  <si>
    <t>49-9041</t>
  </si>
  <si>
    <t>49-9044</t>
  </si>
  <si>
    <t>49-9046</t>
  </si>
  <si>
    <t>49-9031</t>
  </si>
  <si>
    <t>49-9034</t>
  </si>
  <si>
    <t>49-9036</t>
  </si>
  <si>
    <t>25L</t>
  </si>
  <si>
    <t>49-9021</t>
  </si>
  <si>
    <t>49-9024</t>
  </si>
  <si>
    <t>49-9026</t>
  </si>
  <si>
    <t>25-2448</t>
  </si>
  <si>
    <t>49-9011</t>
  </si>
  <si>
    <t>49-9014</t>
  </si>
  <si>
    <t>49-9016</t>
  </si>
  <si>
    <t>49-9001</t>
  </si>
  <si>
    <t>49-9004</t>
  </si>
  <si>
    <t>49-9006</t>
  </si>
  <si>
    <t>IG/IG</t>
  </si>
  <si>
    <t>bis 6,0 bar</t>
  </si>
  <si>
    <t>bis 3,5 bar</t>
  </si>
  <si>
    <t>Alpha DM</t>
  </si>
  <si>
    <t>Alpha FE</t>
  </si>
  <si>
    <t>Alpha S</t>
  </si>
  <si>
    <t>HP-Einsatz</t>
  </si>
  <si>
    <t>LP-Einsatz</t>
  </si>
  <si>
    <t xml:space="preserve">Bereich </t>
  </si>
  <si>
    <t>Alpha Ventilgehäuse Modell</t>
  </si>
  <si>
    <t>Berechnung nächst größer Volumenstrom</t>
  </si>
  <si>
    <t>Berechnung nächst kleiner Volumenstrom</t>
  </si>
  <si>
    <t>Alpha Regler</t>
  </si>
  <si>
    <t>l/h</t>
  </si>
  <si>
    <t>range</t>
  </si>
  <si>
    <t>ALPHA Valve</t>
  </si>
  <si>
    <t>ALPHA</t>
  </si>
  <si>
    <t>P/T-Plugs</t>
  </si>
  <si>
    <t>Drain Valve</t>
  </si>
  <si>
    <t>Plugs</t>
  </si>
  <si>
    <t>12-600</t>
  </si>
  <si>
    <t xml:space="preserve">7-600 </t>
  </si>
  <si>
    <t>HP High Press.</t>
  </si>
  <si>
    <t>12-350</t>
  </si>
  <si>
    <t xml:space="preserve">7-350 </t>
  </si>
  <si>
    <t>LP Low Press.</t>
  </si>
  <si>
    <t>DN25L-50</t>
  </si>
  <si>
    <t>DN15-25</t>
  </si>
  <si>
    <t>ΔP range (kPa)</t>
  </si>
  <si>
    <t>Selection program Frese ALPHA Dynamic Balancing Valve</t>
  </si>
  <si>
    <t>Quick - CALC Frese ALPHA</t>
  </si>
  <si>
    <t>52-66407H</t>
  </si>
  <si>
    <t>52-66407</t>
  </si>
  <si>
    <t>52-66400</t>
  </si>
  <si>
    <t>52-66398</t>
  </si>
  <si>
    <t>52-66393</t>
  </si>
  <si>
    <t>52-66391</t>
  </si>
  <si>
    <t>52-66385</t>
  </si>
  <si>
    <t>52-66379</t>
  </si>
  <si>
    <t>52-66373</t>
  </si>
  <si>
    <t>52-66367</t>
  </si>
  <si>
    <t>52-66362</t>
  </si>
  <si>
    <t>52-66356</t>
  </si>
  <si>
    <t>52-66349</t>
  </si>
  <si>
    <t>52-66344</t>
  </si>
  <si>
    <t>52-66338</t>
  </si>
  <si>
    <t>52-66332</t>
  </si>
  <si>
    <t>52-66326</t>
  </si>
  <si>
    <t>52-66319</t>
  </si>
  <si>
    <t>52-66312</t>
  </si>
  <si>
    <t xml:space="preserve">       49-9213-01</t>
  </si>
  <si>
    <t>52-66305</t>
  </si>
  <si>
    <t xml:space="preserve">       49-9203-01</t>
  </si>
  <si>
    <t>52-66301</t>
  </si>
  <si>
    <t xml:space="preserve">       49-9193-01</t>
  </si>
  <si>
    <t>52-66292</t>
  </si>
  <si>
    <t xml:space="preserve">       49-9183-01</t>
  </si>
  <si>
    <t>52-66285</t>
  </si>
  <si>
    <t xml:space="preserve">       49-9173-01</t>
  </si>
  <si>
    <t>52-55308</t>
  </si>
  <si>
    <t xml:space="preserve">       49-9153-01</t>
  </si>
  <si>
    <t>52-55303</t>
  </si>
  <si>
    <t xml:space="preserve">       49-9143-01</t>
  </si>
  <si>
    <t>52-55298</t>
  </si>
  <si>
    <t xml:space="preserve">       49-9133-01</t>
  </si>
  <si>
    <t>52-55292</t>
  </si>
  <si>
    <t xml:space="preserve">       49-9123-01</t>
  </si>
  <si>
    <t>52-55287</t>
  </si>
  <si>
    <t xml:space="preserve">       49-9113-01</t>
  </si>
  <si>
    <t>52-55279</t>
  </si>
  <si>
    <t xml:space="preserve">       49-9163-01</t>
  </si>
  <si>
    <t>52-55269</t>
  </si>
  <si>
    <t xml:space="preserve">       49-9103-01</t>
  </si>
  <si>
    <t>52-55260</t>
  </si>
  <si>
    <t xml:space="preserve">       49-9093-01</t>
  </si>
  <si>
    <t>52-55251</t>
  </si>
  <si>
    <t xml:space="preserve">       49-9083-01</t>
  </si>
  <si>
    <t>52-55243</t>
  </si>
  <si>
    <t xml:space="preserve">       49-9073-01</t>
  </si>
  <si>
    <t>52-55235</t>
  </si>
  <si>
    <t>52-55227</t>
  </si>
  <si>
    <t>52-55220</t>
  </si>
  <si>
    <t>52-55213</t>
  </si>
  <si>
    <t>WENN(O23&lt;0;</t>
  </si>
  <si>
    <t>52-55206</t>
  </si>
  <si>
    <t>52-55200</t>
  </si>
  <si>
    <t>52-55194</t>
  </si>
  <si>
    <t>52-55189</t>
  </si>
  <si>
    <t>52-55184</t>
  </si>
  <si>
    <t>52-55179</t>
  </si>
  <si>
    <t>ΔP range:  13 - 600 kPa</t>
  </si>
  <si>
    <t>AISI 304</t>
  </si>
  <si>
    <t>Cartridge Type HP (High Pressure)</t>
  </si>
  <si>
    <t>Selection program Frese ALPHA Wafer Dynamic Balancing Valve</t>
  </si>
  <si>
    <t>QUICK - CALC Frese ALPHA Flange</t>
  </si>
  <si>
    <t>with selected Valve dimension</t>
  </si>
  <si>
    <t>3,8 - 45</t>
  </si>
  <si>
    <t>3,8 - 90</t>
  </si>
  <si>
    <t>3,8 - 135</t>
  </si>
  <si>
    <t>3,8 - 180</t>
  </si>
  <si>
    <t>3,8 - 315</t>
  </si>
  <si>
    <t>3,8 - 540</t>
  </si>
  <si>
    <t>3,8 - 675</t>
  </si>
  <si>
    <t>3,8 - 855</t>
  </si>
  <si>
    <t>3,8 - 1170</t>
  </si>
  <si>
    <t>3,8 - 1485</t>
  </si>
  <si>
    <t>3,8 - 1800</t>
  </si>
  <si>
    <t>3,8 - 2520</t>
  </si>
  <si>
    <t>3,8 - 3825</t>
  </si>
  <si>
    <t>3,8 - 5040</t>
  </si>
  <si>
    <t>3,8 - 6120</t>
  </si>
  <si>
    <t xml:space="preserve">       49-9233-01</t>
  </si>
  <si>
    <t xml:space="preserve">       49-9223-01</t>
  </si>
  <si>
    <t>Flow cooling</t>
  </si>
  <si>
    <t>Flow heating</t>
  </si>
  <si>
    <t>Calculation Pre-set</t>
  </si>
  <si>
    <t>Calculation minimum diff. Pressure</t>
  </si>
  <si>
    <t>Cooling</t>
  </si>
  <si>
    <t>Heating</t>
  </si>
  <si>
    <t>Flow l/h</t>
  </si>
  <si>
    <t>Pre-set scale</t>
  </si>
  <si>
    <t>4 - 400</t>
  </si>
  <si>
    <t>DN15</t>
  </si>
  <si>
    <t>210 - 1200</t>
  </si>
  <si>
    <t>15 - 400</t>
  </si>
  <si>
    <t>DN20</t>
  </si>
  <si>
    <t>460 - 4250</t>
  </si>
  <si>
    <t>Bacnet Value = 1 x Preset Scale</t>
  </si>
  <si>
    <t>Modbus Value  = 10 x Preset scale</t>
  </si>
  <si>
    <t>Analog Pre-set</t>
  </si>
  <si>
    <t>Voltage preset
0-10V</t>
  </si>
  <si>
    <t>Current preset
4-20mA</t>
  </si>
  <si>
    <t>Evaluering Flow</t>
  </si>
  <si>
    <t>QUICK - CALC SIGMA Compact Flanged</t>
  </si>
  <si>
    <t>Setting &amp; Selection program</t>
  </si>
  <si>
    <t>Dimension &amp; Type</t>
  </si>
  <si>
    <t>DN50 Ultra High Flow</t>
  </si>
  <si>
    <t>1.40-11.50</t>
  </si>
  <si>
    <t>DN50 Standard Low Flow</t>
  </si>
  <si>
    <t>DN50 Standard High Flow</t>
  </si>
  <si>
    <t>DN65 Ultra Low Flow</t>
  </si>
  <si>
    <t>DN65 Ultra High Flow</t>
  </si>
  <si>
    <t>4.20-24.00</t>
  </si>
  <si>
    <t>DN65 Standard Low Flow</t>
  </si>
  <si>
    <t>DN65 Standard High Flow</t>
  </si>
  <si>
    <t>DN80 Ultra Low Flow</t>
  </si>
  <si>
    <t>DN80 Ultra High Flow</t>
  </si>
  <si>
    <t>DN80 Standard Low Flow</t>
  </si>
  <si>
    <t>DN80 Standard High Flow</t>
  </si>
  <si>
    <t>DN100 Ultra Low Flow</t>
  </si>
  <si>
    <t>DN100 Ultra High Flow</t>
  </si>
  <si>
    <t>DN100 Standard Low Flow</t>
  </si>
  <si>
    <t>DN100 Standard High Flow</t>
  </si>
  <si>
    <t>DN125 Ultra Low Flow</t>
  </si>
  <si>
    <t>DN125 Ultra High Flow</t>
  </si>
  <si>
    <t>DN125 Standard Low Flow</t>
  </si>
  <si>
    <t>DN125 Standard High Flow</t>
  </si>
  <si>
    <t>DN150 Standard Low Flow</t>
  </si>
  <si>
    <t>DN150 Standard High Flow</t>
  </si>
  <si>
    <t>DN200 Standard Low Flow</t>
  </si>
  <si>
    <t>DN200 Standard High Flow</t>
  </si>
  <si>
    <t>DN250 Standard Low Flow</t>
  </si>
  <si>
    <t>DN250 Standard High Flow</t>
  </si>
  <si>
    <t>DN300 Standard Low Flow</t>
  </si>
  <si>
    <t>DN300 Standard High Flow</t>
  </si>
  <si>
    <t>QUICK - CALC OPTIMA Compact &amp; OPTIMA Compact Veriflow</t>
  </si>
  <si>
    <t>DN20 High 4,0 *</t>
  </si>
  <si>
    <t>*) Not standard product</t>
  </si>
  <si>
    <t>1.40-11.5</t>
  </si>
  <si>
    <t>2.50-15.0</t>
  </si>
  <si>
    <t>3.90-24.0</t>
  </si>
  <si>
    <t>3.00-16.0</t>
  </si>
  <si>
    <t>4.20-24.0</t>
  </si>
  <si>
    <t>4.40-25.0</t>
  </si>
  <si>
    <t>6.00-35.0</t>
  </si>
  <si>
    <t>5.30-34.0</t>
  </si>
  <si>
    <t>7.00-43.0</t>
  </si>
  <si>
    <t>12.1-68.0</t>
  </si>
  <si>
    <t>14.8-90.0</t>
  </si>
  <si>
    <t>18.5-110</t>
  </si>
  <si>
    <t>23.0-135</t>
  </si>
  <si>
    <t>25.6-148</t>
  </si>
  <si>
    <t>32.0-195</t>
  </si>
  <si>
    <t>95.0-210</t>
  </si>
  <si>
    <t>130-280</t>
  </si>
  <si>
    <t>190-475</t>
  </si>
  <si>
    <t>245-600</t>
  </si>
  <si>
    <t>QUICK - CALC COMBIFLOW 6-Way</t>
  </si>
  <si>
    <t>30 - 830</t>
  </si>
  <si>
    <t>Køling</t>
  </si>
  <si>
    <t>Varme</t>
  </si>
  <si>
    <t>Vinkel køling</t>
  </si>
  <si>
    <t>Vinkel varme</t>
  </si>
  <si>
    <t>Preset</t>
  </si>
  <si>
    <t>Calculation total pressure loss</t>
  </si>
  <si>
    <t>Total ∆P (kPa)</t>
  </si>
  <si>
    <t>Minimum DP</t>
  </si>
  <si>
    <t>Total pumpe DP</t>
  </si>
  <si>
    <t>Current</t>
  </si>
  <si>
    <t>Voltage</t>
  </si>
  <si>
    <t>DN15 LOW</t>
  </si>
  <si>
    <t>Best Match</t>
  </si>
  <si>
    <t>QUICK - CALC SIGMA Compact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</si>
</sst>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-* #,##0.00\ _€_-;\-* #,##0.00\ _€_-;_-* &quot;-&quot;??\ _€_-;_-@_-"/>
    <numFmt numFmtId="165" formatCode="_(* #,##0.00_);_(* \(#,##0.00\);_(* &quot;-&quot;??_);_(@_)"/>
    <numFmt numFmtId="166" formatCode="0.0"/>
    <numFmt numFmtId="167" formatCode="0.0%"/>
    <numFmt numFmtId="168" formatCode="#,##0.0"/>
  </numFmts>
  <fonts count="33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sz val="10"/>
      <color indexed="10"/>
      <name val="Arial"/>
      <family val="2"/>
    </font>
    <font>
      <b/>
      <sz val="16"/>
      <name val="Arial"/>
      <family val="2"/>
    </font>
    <font>
      <sz val="10"/>
      <name val="Arial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17"/>
      <name val="Calibri"/>
      <family val="2"/>
    </font>
    <font>
      <sz val="11"/>
      <color indexed="20"/>
      <name val="Calibri"/>
      <family val="2"/>
    </font>
    <font>
      <sz val="11"/>
      <color indexed="62"/>
      <name val="Calibri"/>
      <family val="2"/>
    </font>
    <font>
      <b/>
      <sz val="11"/>
      <color indexed="63"/>
      <name val="Calibri"/>
      <family val="2"/>
    </font>
    <font>
      <b/>
      <sz val="11"/>
      <color indexed="52"/>
      <name val="Calibri"/>
      <family val="2"/>
    </font>
    <font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10"/>
      <name val="Calibri"/>
      <family val="2"/>
    </font>
    <font>
      <sz val="10"/>
      <name val="Arial"/>
      <family val="2"/>
    </font>
    <font>
      <i/>
      <sz val="11"/>
      <color indexed="23"/>
      <name val="Calibri"/>
      <family val="2"/>
    </font>
    <font>
      <b/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8"/>
      <name val="Calibri"/>
      <family val="2"/>
    </font>
    <font>
      <b/>
      <sz val="10"/>
      <color indexed="10"/>
      <name val="Arial"/>
      <family val="2"/>
    </font>
    <font>
      <b/>
      <sz val="11"/>
      <name val="Arial"/>
      <family val="2"/>
    </font>
    <font>
      <b/>
      <sz val="12"/>
      <name val="Arial"/>
      <family val="2"/>
    </font>
    <font>
      <sz val="11"/>
      <name val="Arial"/>
      <family val="2"/>
    </font>
    <font>
      <sz val="10"/>
      <color rgb="FF000000"/>
      <name val="Arial"/>
      <family val="2"/>
    </font>
    <font>
      <sz val="10"/>
      <color indexed="57"/>
      <name val="Arial"/>
      <family val="2"/>
    </font>
    <font>
      <b/>
      <sz val="10"/>
      <color rgb="FFFF0000"/>
      <name val="Arial"/>
      <family val="2"/>
    </font>
    <font>
      <b/>
      <sz val="14"/>
      <color indexed="10"/>
      <name val="Arial"/>
      <family val="2"/>
    </font>
    <font>
      <sz val="8"/>
      <name val="Arial"/>
      <family val="2"/>
    </font>
    <font>
      <b/>
      <sz val="10"/>
      <color theme="1"/>
      <name val="Arial"/>
      <family val="2"/>
    </font>
  </fonts>
  <fills count="3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26"/>
      </patternFill>
    </fill>
    <fill>
      <patternFill patternType="solid">
        <fgColor indexed="55"/>
      </patternFill>
    </fill>
    <fill>
      <patternFill patternType="solid">
        <fgColor indexed="4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FF00"/>
        <bgColor indexed="64"/>
      </patternFill>
    </fill>
  </fills>
  <borders count="115">
    <border>
      <left/>
      <right/>
      <top/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/>
      <right style="thick">
        <color indexed="64"/>
      </right>
      <top/>
      <bottom/>
      <diagonal/>
    </border>
    <border>
      <left style="thick">
        <color indexed="64"/>
      </left>
      <right/>
      <top/>
      <bottom/>
      <diagonal/>
    </border>
    <border>
      <left/>
      <right/>
      <top/>
      <bottom style="thick">
        <color indexed="64"/>
      </bottom>
      <diagonal/>
    </border>
    <border>
      <left/>
      <right style="thick">
        <color indexed="64"/>
      </right>
      <top/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ck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ck">
        <color indexed="64"/>
      </left>
      <right/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 style="thin">
        <color indexed="64"/>
      </top>
      <bottom style="thick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/>
      <top style="thick">
        <color indexed="64"/>
      </top>
      <bottom/>
      <diagonal/>
    </border>
    <border>
      <left style="thin">
        <color indexed="64"/>
      </left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ck">
        <color indexed="64"/>
      </right>
      <top/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/>
      <top style="thin">
        <color indexed="64"/>
      </top>
      <bottom/>
      <diagonal/>
    </border>
    <border>
      <left/>
      <right style="thick">
        <color indexed="64"/>
      </right>
      <top style="thin">
        <color indexed="64"/>
      </top>
      <bottom/>
      <diagonal/>
    </border>
    <border>
      <left/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/>
      <top style="thick">
        <color indexed="64"/>
      </top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ck">
        <color indexed="64"/>
      </top>
      <bottom style="thick">
        <color indexed="64"/>
      </bottom>
      <diagonal/>
    </border>
    <border>
      <left style="thick">
        <color indexed="64"/>
      </left>
      <right/>
      <top/>
      <bottom style="thick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ck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ck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ck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thick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ck">
        <color indexed="64"/>
      </left>
      <right/>
      <top style="thick">
        <color indexed="64"/>
      </top>
      <bottom style="thin">
        <color indexed="64"/>
      </bottom>
      <diagonal/>
    </border>
    <border>
      <left/>
      <right/>
      <top style="thick">
        <color indexed="64"/>
      </top>
      <bottom style="thin">
        <color indexed="64"/>
      </bottom>
      <diagonal/>
    </border>
    <border>
      <left/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ck">
        <color auto="1"/>
      </right>
      <top style="thin">
        <color auto="1"/>
      </top>
      <bottom style="thin">
        <color auto="1"/>
      </bottom>
      <diagonal/>
    </border>
    <border>
      <left style="thick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ck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 style="thick">
        <color auto="1"/>
      </right>
      <top style="thin">
        <color auto="1"/>
      </top>
      <bottom style="thick">
        <color auto="1"/>
      </bottom>
      <diagonal/>
    </border>
    <border>
      <left/>
      <right/>
      <top/>
      <bottom style="thick">
        <color auto="1"/>
      </bottom>
      <diagonal/>
    </border>
    <border>
      <left style="medium">
        <color indexed="64"/>
      </left>
      <right/>
      <top style="thin">
        <color auto="1"/>
      </top>
      <bottom style="thick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ck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auto="1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ck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ck">
        <color auto="1"/>
      </bottom>
      <diagonal/>
    </border>
    <border>
      <left style="medium">
        <color indexed="64"/>
      </left>
      <right/>
      <top/>
      <bottom style="thick">
        <color indexed="64"/>
      </bottom>
      <diagonal/>
    </border>
  </borders>
  <cellStyleXfs count="48">
    <xf numFmtId="0" fontId="0" fillId="0" borderId="0"/>
    <xf numFmtId="164" fontId="18" fillId="0" borderId="0" applyFont="0" applyFill="0" applyBorder="0" applyAlignment="0" applyProtection="0"/>
    <xf numFmtId="0" fontId="22" fillId="2" borderId="0" applyNumberFormat="0" applyBorder="0" applyAlignment="0" applyProtection="0"/>
    <xf numFmtId="0" fontId="22" fillId="3" borderId="0" applyNumberFormat="0" applyBorder="0" applyAlignment="0" applyProtection="0"/>
    <xf numFmtId="0" fontId="22" fillId="4" borderId="0" applyNumberFormat="0" applyBorder="0" applyAlignment="0" applyProtection="0"/>
    <xf numFmtId="0" fontId="22" fillId="5" borderId="0" applyNumberFormat="0" applyBorder="0" applyAlignment="0" applyProtection="0"/>
    <xf numFmtId="0" fontId="22" fillId="6" borderId="0" applyNumberFormat="0" applyBorder="0" applyAlignment="0" applyProtection="0"/>
    <xf numFmtId="0" fontId="22" fillId="7" borderId="0" applyNumberFormat="0" applyBorder="0" applyAlignment="0" applyProtection="0"/>
    <xf numFmtId="0" fontId="22" fillId="8" borderId="0" applyNumberFormat="0" applyBorder="0" applyAlignment="0" applyProtection="0"/>
    <xf numFmtId="0" fontId="22" fillId="9" borderId="0" applyNumberFormat="0" applyBorder="0" applyAlignment="0" applyProtection="0"/>
    <xf numFmtId="0" fontId="22" fillId="10" borderId="0" applyNumberFormat="0" applyBorder="0" applyAlignment="0" applyProtection="0"/>
    <xf numFmtId="0" fontId="22" fillId="5" borderId="0" applyNumberFormat="0" applyBorder="0" applyAlignment="0" applyProtection="0"/>
    <xf numFmtId="0" fontId="22" fillId="8" borderId="0" applyNumberFormat="0" applyBorder="0" applyAlignment="0" applyProtection="0"/>
    <xf numFmtId="0" fontId="22" fillId="11" borderId="0" applyNumberFormat="0" applyBorder="0" applyAlignment="0" applyProtection="0"/>
    <xf numFmtId="0" fontId="21" fillId="12" borderId="0" applyNumberFormat="0" applyBorder="0" applyAlignment="0" applyProtection="0"/>
    <xf numFmtId="0" fontId="21" fillId="9" borderId="0" applyNumberFormat="0" applyBorder="0" applyAlignment="0" applyProtection="0"/>
    <xf numFmtId="0" fontId="21" fillId="10" borderId="0" applyNumberFormat="0" applyBorder="0" applyAlignment="0" applyProtection="0"/>
    <xf numFmtId="0" fontId="21" fillId="13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6" borderId="0" applyNumberFormat="0" applyBorder="0" applyAlignment="0" applyProtection="0"/>
    <xf numFmtId="0" fontId="21" fillId="17" borderId="0" applyNumberFormat="0" applyBorder="0" applyAlignment="0" applyProtection="0"/>
    <xf numFmtId="0" fontId="21" fillId="18" borderId="0" applyNumberFormat="0" applyBorder="0" applyAlignment="0" applyProtection="0"/>
    <xf numFmtId="0" fontId="21" fillId="13" borderId="0" applyNumberFormat="0" applyBorder="0" applyAlignment="0" applyProtection="0"/>
    <xf numFmtId="0" fontId="21" fillId="14" borderId="0" applyNumberFormat="0" applyBorder="0" applyAlignment="0" applyProtection="0"/>
    <xf numFmtId="0" fontId="21" fillId="19" borderId="0" applyNumberFormat="0" applyBorder="0" applyAlignment="0" applyProtection="0"/>
    <xf numFmtId="0" fontId="13" fillId="20" borderId="1" applyNumberFormat="0" applyAlignment="0" applyProtection="0"/>
    <xf numFmtId="0" fontId="14" fillId="20" borderId="3" applyNumberFormat="0" applyAlignment="0" applyProtection="0"/>
    <xf numFmtId="0" fontId="12" fillId="7" borderId="3" applyNumberFormat="0" applyAlignment="0" applyProtection="0"/>
    <xf numFmtId="0" fontId="20" fillId="0" borderId="4" applyNumberFormat="0" applyFill="0" applyAlignment="0" applyProtection="0"/>
    <xf numFmtId="0" fontId="19" fillId="0" borderId="0" applyNumberFormat="0" applyFill="0" applyBorder="0" applyAlignment="0" applyProtection="0"/>
    <xf numFmtId="0" fontId="10" fillId="4" borderId="0" applyNumberFormat="0" applyBorder="0" applyAlignment="0" applyProtection="0"/>
    <xf numFmtId="0" fontId="5" fillId="21" borderId="2" applyNumberFormat="0" applyFont="0" applyAlignment="0" applyProtection="0"/>
    <xf numFmtId="9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1" fillId="3" borderId="0" applyNumberFormat="0" applyBorder="0" applyAlignment="0" applyProtection="0"/>
    <xf numFmtId="0" fontId="15" fillId="0" borderId="9" applyNumberFormat="0" applyFill="0" applyAlignment="0" applyProtection="0"/>
    <xf numFmtId="0" fontId="1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6" applyNumberFormat="0" applyFill="0" applyAlignment="0" applyProtection="0"/>
    <xf numFmtId="0" fontId="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0" applyNumberFormat="0" applyFill="0" applyBorder="0" applyAlignment="0" applyProtection="0"/>
    <xf numFmtId="0" fontId="16" fillId="22" borderId="5" applyNumberFormat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</cellStyleXfs>
  <cellXfs count="600">
    <xf numFmtId="0" fontId="0" fillId="0" borderId="0" xfId="0"/>
    <xf numFmtId="0" fontId="0" fillId="0" borderId="10" xfId="0" applyBorder="1"/>
    <xf numFmtId="0" fontId="0" fillId="0" borderId="22" xfId="0" applyBorder="1"/>
    <xf numFmtId="0" fontId="0" fillId="0" borderId="23" xfId="0" applyBorder="1"/>
    <xf numFmtId="0" fontId="2" fillId="0" borderId="0" xfId="0" applyFont="1"/>
    <xf numFmtId="0" fontId="0" fillId="0" borderId="24" xfId="0" applyBorder="1"/>
    <xf numFmtId="0" fontId="0" fillId="0" borderId="25" xfId="0" applyBorder="1"/>
    <xf numFmtId="0" fontId="2" fillId="0" borderId="23" xfId="0" applyFont="1" applyBorder="1"/>
    <xf numFmtId="0" fontId="5" fillId="0" borderId="10" xfId="0" applyFont="1" applyBorder="1" applyAlignment="1">
      <alignment horizontal="center"/>
    </xf>
    <xf numFmtId="0" fontId="0" fillId="0" borderId="0" xfId="0" applyAlignment="1">
      <alignment horizontal="center"/>
    </xf>
    <xf numFmtId="0" fontId="23" fillId="0" borderId="0" xfId="0" applyFont="1"/>
    <xf numFmtId="0" fontId="23" fillId="0" borderId="0" xfId="0" applyFont="1" applyAlignment="1">
      <alignment horizontal="left"/>
    </xf>
    <xf numFmtId="3" fontId="2" fillId="0" borderId="0" xfId="0" applyNumberFormat="1" applyFont="1" applyAlignment="1">
      <alignment horizontal="center"/>
    </xf>
    <xf numFmtId="0" fontId="0" fillId="0" borderId="10" xfId="0" applyBorder="1" applyAlignment="1">
      <alignment horizontal="right"/>
    </xf>
    <xf numFmtId="0" fontId="5" fillId="0" borderId="0" xfId="0" applyFont="1"/>
    <xf numFmtId="3" fontId="2" fillId="0" borderId="0" xfId="0" applyNumberFormat="1" applyFont="1"/>
    <xf numFmtId="3" fontId="2" fillId="0" borderId="0" xfId="0" quotePrefix="1" applyNumberFormat="1" applyFont="1" applyAlignment="1">
      <alignment horizontal="center"/>
    </xf>
    <xf numFmtId="0" fontId="2" fillId="0" borderId="0" xfId="0" applyFont="1" applyAlignment="1">
      <alignment horizontal="left"/>
    </xf>
    <xf numFmtId="0" fontId="4" fillId="27" borderId="19" xfId="0" applyFont="1" applyFill="1" applyBorder="1" applyAlignment="1">
      <alignment horizontal="left"/>
    </xf>
    <xf numFmtId="0" fontId="2" fillId="26" borderId="15" xfId="0" applyFont="1" applyFill="1" applyBorder="1" applyAlignment="1">
      <alignment horizontal="center"/>
    </xf>
    <xf numFmtId="0" fontId="2" fillId="0" borderId="15" xfId="0" applyFont="1" applyBorder="1" applyAlignment="1">
      <alignment horizontal="center"/>
    </xf>
    <xf numFmtId="0" fontId="2" fillId="26" borderId="14" xfId="0" applyFont="1" applyFill="1" applyBorder="1" applyAlignment="1">
      <alignment horizontal="center"/>
    </xf>
    <xf numFmtId="0" fontId="0" fillId="0" borderId="32" xfId="0" applyBorder="1"/>
    <xf numFmtId="0" fontId="4" fillId="27" borderId="21" xfId="0" applyFont="1" applyFill="1" applyBorder="1" applyAlignment="1">
      <alignment horizontal="left"/>
    </xf>
    <xf numFmtId="0" fontId="4" fillId="0" borderId="0" xfId="0" applyFont="1"/>
    <xf numFmtId="166" fontId="2" fillId="0" borderId="0" xfId="0" applyNumberFormat="1" applyFont="1" applyAlignment="1">
      <alignment horizontal="left"/>
    </xf>
    <xf numFmtId="0" fontId="2" fillId="25" borderId="37" xfId="0" applyFont="1" applyFill="1" applyBorder="1" applyAlignment="1">
      <alignment horizontal="left"/>
    </xf>
    <xf numFmtId="0" fontId="2" fillId="25" borderId="38" xfId="0" applyFont="1" applyFill="1" applyBorder="1" applyAlignment="1">
      <alignment horizontal="left"/>
    </xf>
    <xf numFmtId="0" fontId="2" fillId="25" borderId="38" xfId="0" applyFont="1" applyFill="1" applyBorder="1" applyAlignment="1">
      <alignment horizontal="center"/>
    </xf>
    <xf numFmtId="0" fontId="2" fillId="25" borderId="39" xfId="0" applyFont="1" applyFill="1" applyBorder="1" applyAlignment="1">
      <alignment horizontal="center"/>
    </xf>
    <xf numFmtId="0" fontId="2" fillId="25" borderId="37" xfId="0" applyFont="1" applyFill="1" applyBorder="1" applyAlignment="1">
      <alignment horizontal="center"/>
    </xf>
    <xf numFmtId="0" fontId="2" fillId="25" borderId="40" xfId="0" applyFont="1" applyFill="1" applyBorder="1" applyAlignment="1">
      <alignment horizontal="center"/>
    </xf>
    <xf numFmtId="1" fontId="2" fillId="25" borderId="11" xfId="0" applyNumberFormat="1" applyFont="1" applyFill="1" applyBorder="1" applyAlignment="1">
      <alignment horizontal="center"/>
    </xf>
    <xf numFmtId="0" fontId="2" fillId="25" borderId="21" xfId="0" applyFont="1" applyFill="1" applyBorder="1" applyAlignment="1">
      <alignment horizontal="center"/>
    </xf>
    <xf numFmtId="168" fontId="2" fillId="0" borderId="0" xfId="0" applyNumberFormat="1" applyFont="1" applyAlignment="1">
      <alignment horizontal="center"/>
    </xf>
    <xf numFmtId="0" fontId="2" fillId="25" borderId="41" xfId="0" applyFont="1" applyFill="1" applyBorder="1" applyAlignment="1">
      <alignment horizontal="left"/>
    </xf>
    <xf numFmtId="0" fontId="2" fillId="25" borderId="32" xfId="0" applyFont="1" applyFill="1" applyBorder="1" applyAlignment="1">
      <alignment horizontal="left"/>
    </xf>
    <xf numFmtId="0" fontId="0" fillId="25" borderId="32" xfId="0" applyFill="1" applyBorder="1"/>
    <xf numFmtId="0" fontId="2" fillId="25" borderId="36" xfId="0" applyFont="1" applyFill="1" applyBorder="1" applyAlignment="1">
      <alignment horizontal="center"/>
    </xf>
    <xf numFmtId="0" fontId="2" fillId="25" borderId="41" xfId="0" applyFont="1" applyFill="1" applyBorder="1" applyAlignment="1">
      <alignment horizontal="center"/>
    </xf>
    <xf numFmtId="0" fontId="2" fillId="25" borderId="32" xfId="0" applyFont="1" applyFill="1" applyBorder="1" applyAlignment="1">
      <alignment horizontal="center"/>
    </xf>
    <xf numFmtId="0" fontId="2" fillId="25" borderId="30" xfId="0" applyFont="1" applyFill="1" applyBorder="1" applyAlignment="1">
      <alignment horizontal="center"/>
    </xf>
    <xf numFmtId="1" fontId="2" fillId="25" borderId="14" xfId="0" applyNumberFormat="1" applyFont="1" applyFill="1" applyBorder="1" applyAlignment="1">
      <alignment horizontal="center"/>
    </xf>
    <xf numFmtId="0" fontId="2" fillId="25" borderId="42" xfId="0" applyFont="1" applyFill="1" applyBorder="1" applyAlignment="1">
      <alignment horizontal="center"/>
    </xf>
    <xf numFmtId="0" fontId="2" fillId="0" borderId="0" xfId="0" quotePrefix="1" applyFont="1"/>
    <xf numFmtId="3" fontId="2" fillId="0" borderId="0" xfId="0" applyNumberFormat="1" applyFont="1" applyAlignment="1">
      <alignment horizontal="left"/>
    </xf>
    <xf numFmtId="168" fontId="2" fillId="24" borderId="14" xfId="0" applyNumberFormat="1" applyFont="1" applyFill="1" applyBorder="1"/>
    <xf numFmtId="168" fontId="2" fillId="24" borderId="10" xfId="0" applyNumberFormat="1" applyFont="1" applyFill="1" applyBorder="1"/>
    <xf numFmtId="0" fontId="0" fillId="24" borderId="10" xfId="0" applyFill="1" applyBorder="1"/>
    <xf numFmtId="168" fontId="2" fillId="24" borderId="29" xfId="0" quotePrefix="1" applyNumberFormat="1" applyFont="1" applyFill="1" applyBorder="1" applyAlignment="1">
      <alignment horizontal="center"/>
    </xf>
    <xf numFmtId="3" fontId="2" fillId="24" borderId="14" xfId="0" quotePrefix="1" applyNumberFormat="1" applyFont="1" applyFill="1" applyBorder="1" applyAlignment="1">
      <alignment horizontal="center"/>
    </xf>
    <xf numFmtId="3" fontId="2" fillId="24" borderId="10" xfId="0" quotePrefix="1" applyNumberFormat="1" applyFont="1" applyFill="1" applyBorder="1" applyAlignment="1">
      <alignment horizontal="center"/>
    </xf>
    <xf numFmtId="168" fontId="2" fillId="24" borderId="15" xfId="0" quotePrefix="1" applyNumberFormat="1" applyFont="1" applyFill="1" applyBorder="1" applyAlignment="1">
      <alignment horizontal="center"/>
    </xf>
    <xf numFmtId="167" fontId="2" fillId="24" borderId="43" xfId="0" quotePrefix="1" applyNumberFormat="1" applyFont="1" applyFill="1" applyBorder="1" applyAlignment="1">
      <alignment horizontal="center"/>
    </xf>
    <xf numFmtId="3" fontId="2" fillId="0" borderId="44" xfId="0" applyNumberFormat="1" applyFont="1" applyBorder="1"/>
    <xf numFmtId="3" fontId="2" fillId="0" borderId="27" xfId="0" applyNumberFormat="1" applyFont="1" applyBorder="1"/>
    <xf numFmtId="3" fontId="2" fillId="0" borderId="45" xfId="0" applyNumberFormat="1" applyFont="1" applyBorder="1"/>
    <xf numFmtId="168" fontId="2" fillId="24" borderId="16" xfId="0" applyNumberFormat="1" applyFont="1" applyFill="1" applyBorder="1"/>
    <xf numFmtId="168" fontId="2" fillId="24" borderId="17" xfId="0" applyNumberFormat="1" applyFont="1" applyFill="1" applyBorder="1"/>
    <xf numFmtId="0" fontId="0" fillId="24" borderId="17" xfId="0" applyFill="1" applyBorder="1"/>
    <xf numFmtId="168" fontId="2" fillId="24" borderId="34" xfId="0" quotePrefix="1" applyNumberFormat="1" applyFont="1" applyFill="1" applyBorder="1" applyAlignment="1">
      <alignment horizontal="center"/>
    </xf>
    <xf numFmtId="1" fontId="2" fillId="24" borderId="16" xfId="0" quotePrefix="1" applyNumberFormat="1" applyFont="1" applyFill="1" applyBorder="1" applyAlignment="1">
      <alignment horizontal="center"/>
    </xf>
    <xf numFmtId="1" fontId="2" fillId="24" borderId="17" xfId="0" quotePrefix="1" applyNumberFormat="1" applyFont="1" applyFill="1" applyBorder="1" applyAlignment="1">
      <alignment horizontal="center"/>
    </xf>
    <xf numFmtId="166" fontId="2" fillId="24" borderId="17" xfId="0" quotePrefix="1" applyNumberFormat="1" applyFont="1" applyFill="1" applyBorder="1" applyAlignment="1">
      <alignment horizontal="center"/>
    </xf>
    <xf numFmtId="168" fontId="2" fillId="24" borderId="18" xfId="0" quotePrefix="1" applyNumberFormat="1" applyFont="1" applyFill="1" applyBorder="1" applyAlignment="1">
      <alignment horizontal="center"/>
    </xf>
    <xf numFmtId="167" fontId="2" fillId="24" borderId="46" xfId="0" quotePrefix="1" applyNumberFormat="1" applyFont="1" applyFill="1" applyBorder="1" applyAlignment="1">
      <alignment horizontal="center"/>
    </xf>
    <xf numFmtId="3" fontId="2" fillId="24" borderId="47" xfId="0" applyNumberFormat="1" applyFont="1" applyFill="1" applyBorder="1" applyAlignment="1">
      <alignment horizontal="left"/>
    </xf>
    <xf numFmtId="3" fontId="2" fillId="24" borderId="48" xfId="0" applyNumberFormat="1" applyFont="1" applyFill="1" applyBorder="1" applyAlignment="1">
      <alignment horizontal="left"/>
    </xf>
    <xf numFmtId="0" fontId="2" fillId="28" borderId="0" xfId="0" applyFont="1" applyFill="1" applyAlignment="1">
      <alignment horizontal="center"/>
    </xf>
    <xf numFmtId="0" fontId="0" fillId="28" borderId="0" xfId="0" applyFill="1"/>
    <xf numFmtId="0" fontId="0" fillId="28" borderId="22" xfId="0" applyFill="1" applyBorder="1"/>
    <xf numFmtId="0" fontId="3" fillId="0" borderId="0" xfId="0" applyFont="1"/>
    <xf numFmtId="0" fontId="2" fillId="24" borderId="0" xfId="0" applyFont="1" applyFill="1" applyAlignment="1">
      <alignment horizontal="center"/>
    </xf>
    <xf numFmtId="1" fontId="2" fillId="24" borderId="0" xfId="0" applyNumberFormat="1" applyFont="1" applyFill="1" applyAlignment="1">
      <alignment horizontal="center"/>
    </xf>
    <xf numFmtId="0" fontId="2" fillId="24" borderId="22" xfId="0" applyFont="1" applyFill="1" applyBorder="1" applyAlignment="1">
      <alignment horizontal="center"/>
    </xf>
    <xf numFmtId="0" fontId="0" fillId="0" borderId="0" xfId="0" applyAlignment="1">
      <alignment horizontal="left"/>
    </xf>
    <xf numFmtId="0" fontId="2" fillId="28" borderId="0" xfId="0" applyFont="1" applyFill="1" applyAlignment="1">
      <alignment horizontal="left"/>
    </xf>
    <xf numFmtId="0" fontId="23" fillId="0" borderId="23" xfId="0" applyFont="1" applyBorder="1" applyAlignment="1">
      <alignment horizontal="center"/>
    </xf>
    <xf numFmtId="1" fontId="2" fillId="0" borderId="0" xfId="0" applyNumberFormat="1" applyFont="1" applyAlignment="1">
      <alignment horizontal="center"/>
    </xf>
    <xf numFmtId="0" fontId="2" fillId="26" borderId="23" xfId="0" applyFont="1" applyFill="1" applyBorder="1" applyAlignment="1">
      <alignment horizontal="center"/>
    </xf>
    <xf numFmtId="166" fontId="2" fillId="26" borderId="0" xfId="0" applyNumberFormat="1" applyFont="1" applyFill="1" applyAlignment="1">
      <alignment horizontal="center"/>
    </xf>
    <xf numFmtId="0" fontId="2" fillId="26" borderId="0" xfId="0" applyFont="1" applyFill="1" applyAlignment="1">
      <alignment horizontal="center"/>
    </xf>
    <xf numFmtId="168" fontId="2" fillId="28" borderId="0" xfId="0" quotePrefix="1" applyNumberFormat="1" applyFont="1" applyFill="1" applyAlignment="1">
      <alignment horizontal="center"/>
    </xf>
    <xf numFmtId="1" fontId="2" fillId="28" borderId="0" xfId="0" quotePrefix="1" applyNumberFormat="1" applyFont="1" applyFill="1" applyAlignment="1">
      <alignment horizontal="center"/>
    </xf>
    <xf numFmtId="1" fontId="2" fillId="24" borderId="0" xfId="0" quotePrefix="1" applyNumberFormat="1" applyFont="1" applyFill="1" applyAlignment="1">
      <alignment horizontal="center"/>
    </xf>
    <xf numFmtId="166" fontId="2" fillId="24" borderId="0" xfId="0" quotePrefix="1" applyNumberFormat="1" applyFont="1" applyFill="1" applyAlignment="1">
      <alignment horizontal="center"/>
    </xf>
    <xf numFmtId="167" fontId="2" fillId="24" borderId="0" xfId="0" applyNumberFormat="1" applyFont="1" applyFill="1" applyAlignment="1">
      <alignment horizontal="center"/>
    </xf>
    <xf numFmtId="168" fontId="2" fillId="28" borderId="0" xfId="0" applyNumberFormat="1" applyFont="1" applyFill="1" applyAlignment="1">
      <alignment horizontal="center"/>
    </xf>
    <xf numFmtId="3" fontId="2" fillId="28" borderId="0" xfId="0" applyNumberFormat="1" applyFont="1" applyFill="1" applyAlignment="1">
      <alignment horizontal="center"/>
    </xf>
    <xf numFmtId="3" fontId="2" fillId="24" borderId="0" xfId="0" applyNumberFormat="1" applyFont="1" applyFill="1" applyAlignment="1">
      <alignment horizontal="center"/>
    </xf>
    <xf numFmtId="168" fontId="2" fillId="24" borderId="0" xfId="0" applyNumberFormat="1" applyFont="1" applyFill="1" applyAlignment="1">
      <alignment horizontal="center"/>
    </xf>
    <xf numFmtId="168" fontId="2" fillId="23" borderId="0" xfId="0" applyNumberFormat="1" applyFont="1" applyFill="1" applyAlignment="1">
      <alignment horizontal="center"/>
    </xf>
    <xf numFmtId="166" fontId="2" fillId="24" borderId="0" xfId="0" applyNumberFormat="1" applyFont="1" applyFill="1" applyAlignment="1">
      <alignment horizontal="center"/>
    </xf>
    <xf numFmtId="167" fontId="2" fillId="24" borderId="22" xfId="0" applyNumberFormat="1" applyFont="1" applyFill="1" applyBorder="1" applyAlignment="1">
      <alignment horizontal="center"/>
    </xf>
    <xf numFmtId="166" fontId="2" fillId="0" borderId="0" xfId="0" applyNumberFormat="1" applyFont="1" applyAlignment="1">
      <alignment horizontal="center"/>
    </xf>
    <xf numFmtId="1" fontId="2" fillId="28" borderId="0" xfId="0" applyNumberFormat="1" applyFont="1" applyFill="1" applyAlignment="1">
      <alignment horizontal="center"/>
    </xf>
    <xf numFmtId="3" fontId="2" fillId="0" borderId="0" xfId="0" applyNumberFormat="1" applyFont="1" applyAlignment="1">
      <alignment horizontal="right"/>
    </xf>
    <xf numFmtId="0" fontId="2" fillId="0" borderId="10" xfId="0" applyFont="1" applyBorder="1" applyAlignment="1">
      <alignment horizontal="center"/>
    </xf>
    <xf numFmtId="0" fontId="24" fillId="0" borderId="0" xfId="0" applyFont="1"/>
    <xf numFmtId="0" fontId="26" fillId="0" borderId="0" xfId="0" applyFont="1"/>
    <xf numFmtId="0" fontId="23" fillId="0" borderId="10" xfId="0" applyFont="1" applyBorder="1" applyAlignment="1">
      <alignment horizontal="center"/>
    </xf>
    <xf numFmtId="0" fontId="23" fillId="0" borderId="14" xfId="0" applyFont="1" applyBorder="1" applyAlignment="1">
      <alignment horizontal="center"/>
    </xf>
    <xf numFmtId="0" fontId="23" fillId="0" borderId="15" xfId="0" applyFont="1" applyBorder="1" applyAlignment="1">
      <alignment horizontal="center"/>
    </xf>
    <xf numFmtId="0" fontId="24" fillId="0" borderId="0" xfId="0" applyFont="1" applyAlignment="1">
      <alignment horizontal="center"/>
    </xf>
    <xf numFmtId="166" fontId="2" fillId="26" borderId="10" xfId="0" applyNumberFormat="1" applyFont="1" applyFill="1" applyBorder="1" applyAlignment="1">
      <alignment horizontal="center"/>
    </xf>
    <xf numFmtId="166" fontId="2" fillId="0" borderId="10" xfId="0" applyNumberFormat="1" applyFont="1" applyBorder="1" applyAlignment="1">
      <alignment horizontal="center"/>
    </xf>
    <xf numFmtId="3" fontId="24" fillId="0" borderId="0" xfId="0" applyNumberFormat="1" applyFont="1" applyAlignment="1">
      <alignment horizontal="center"/>
    </xf>
    <xf numFmtId="3" fontId="24" fillId="0" borderId="0" xfId="0" applyNumberFormat="1" applyFont="1" applyAlignment="1">
      <alignment horizontal="right"/>
    </xf>
    <xf numFmtId="168" fontId="24" fillId="0" borderId="0" xfId="0" applyNumberFormat="1" applyFont="1"/>
    <xf numFmtId="3" fontId="24" fillId="0" borderId="0" xfId="0" applyNumberFormat="1" applyFont="1"/>
    <xf numFmtId="0" fontId="24" fillId="0" borderId="0" xfId="0" applyFont="1" applyAlignment="1">
      <alignment horizontal="left"/>
    </xf>
    <xf numFmtId="14" fontId="25" fillId="27" borderId="20" xfId="0" applyNumberFormat="1" applyFont="1" applyFill="1" applyBorder="1" applyAlignment="1">
      <alignment horizontal="left"/>
    </xf>
    <xf numFmtId="0" fontId="2" fillId="23" borderId="35" xfId="0" applyFont="1" applyFill="1" applyBorder="1" applyAlignment="1" applyProtection="1">
      <alignment horizontal="center"/>
      <protection locked="0"/>
    </xf>
    <xf numFmtId="166" fontId="2" fillId="23" borderId="35" xfId="0" applyNumberFormat="1" applyFont="1" applyFill="1" applyBorder="1" applyAlignment="1" applyProtection="1">
      <alignment horizontal="center"/>
      <protection locked="0"/>
    </xf>
    <xf numFmtId="0" fontId="2" fillId="26" borderId="10" xfId="0" applyFont="1" applyFill="1" applyBorder="1" applyAlignment="1">
      <alignment horizontal="center"/>
    </xf>
    <xf numFmtId="0" fontId="2" fillId="0" borderId="12" xfId="0" applyFont="1" applyBorder="1" applyAlignment="1">
      <alignment horizontal="center"/>
    </xf>
    <xf numFmtId="0" fontId="2" fillId="0" borderId="11" xfId="0" applyFont="1" applyBorder="1" applyAlignment="1">
      <alignment horizontal="center"/>
    </xf>
    <xf numFmtId="0" fontId="2" fillId="0" borderId="14" xfId="0" applyFont="1" applyBorder="1" applyAlignment="1">
      <alignment horizontal="center"/>
    </xf>
    <xf numFmtId="0" fontId="2" fillId="0" borderId="13" xfId="0" applyFont="1" applyBorder="1" applyAlignment="1">
      <alignment horizontal="center"/>
    </xf>
    <xf numFmtId="0" fontId="2" fillId="0" borderId="23" xfId="0" applyFont="1" applyBorder="1" applyAlignment="1">
      <alignment horizontal="center"/>
    </xf>
    <xf numFmtId="0" fontId="2" fillId="0" borderId="0" xfId="0" applyFont="1" applyAlignment="1">
      <alignment horizontal="center"/>
    </xf>
    <xf numFmtId="0" fontId="0" fillId="0" borderId="10" xfId="0" applyBorder="1" applyAlignment="1">
      <alignment horizontal="center"/>
    </xf>
    <xf numFmtId="0" fontId="23" fillId="0" borderId="0" xfId="0" applyFont="1" applyAlignment="1">
      <alignment horizontal="center"/>
    </xf>
    <xf numFmtId="0" fontId="2" fillId="0" borderId="16" xfId="0" applyFont="1" applyBorder="1" applyAlignment="1">
      <alignment horizontal="center"/>
    </xf>
    <xf numFmtId="166" fontId="2" fillId="0" borderId="17" xfId="0" applyNumberFormat="1" applyFont="1" applyBorder="1" applyAlignment="1">
      <alignment horizontal="center"/>
    </xf>
    <xf numFmtId="0" fontId="2" fillId="0" borderId="18" xfId="0" applyFont="1" applyBorder="1" applyAlignment="1">
      <alignment horizontal="center"/>
    </xf>
    <xf numFmtId="0" fontId="0" fillId="0" borderId="24" xfId="0" applyBorder="1" applyAlignment="1">
      <alignment horizontal="center"/>
    </xf>
    <xf numFmtId="0" fontId="23" fillId="0" borderId="41" xfId="0" applyFont="1" applyBorder="1"/>
    <xf numFmtId="0" fontId="5" fillId="0" borderId="32" xfId="0" quotePrefix="1" applyFont="1" applyBorder="1"/>
    <xf numFmtId="3" fontId="2" fillId="0" borderId="32" xfId="0" applyNumberFormat="1" applyFont="1" applyBorder="1" applyAlignment="1">
      <alignment horizontal="center"/>
    </xf>
    <xf numFmtId="0" fontId="5" fillId="0" borderId="32" xfId="0" applyFont="1" applyBorder="1"/>
    <xf numFmtId="0" fontId="0" fillId="0" borderId="30" xfId="0" applyBorder="1"/>
    <xf numFmtId="0" fontId="23" fillId="0" borderId="14" xfId="0" applyFont="1" applyBorder="1"/>
    <xf numFmtId="0" fontId="5" fillId="0" borderId="10" xfId="0" applyFont="1" applyBorder="1" applyAlignment="1">
      <alignment horizontal="left"/>
    </xf>
    <xf numFmtId="168" fontId="2" fillId="0" borderId="10" xfId="0" applyNumberFormat="1" applyFont="1" applyBorder="1" applyAlignment="1">
      <alignment horizontal="center"/>
    </xf>
    <xf numFmtId="0" fontId="23" fillId="0" borderId="10" xfId="0" applyFont="1" applyBorder="1"/>
    <xf numFmtId="0" fontId="0" fillId="0" borderId="15" xfId="0" applyBorder="1"/>
    <xf numFmtId="0" fontId="5" fillId="0" borderId="10" xfId="0" quotePrefix="1" applyFont="1" applyBorder="1"/>
    <xf numFmtId="0" fontId="23" fillId="0" borderId="10" xfId="0" applyFont="1" applyBorder="1" applyAlignment="1">
      <alignment horizontal="left"/>
    </xf>
    <xf numFmtId="0" fontId="23" fillId="0" borderId="14" xfId="0" applyFont="1" applyBorder="1" applyAlignment="1">
      <alignment horizontal="left"/>
    </xf>
    <xf numFmtId="0" fontId="5" fillId="0" borderId="10" xfId="0" applyFont="1" applyBorder="1"/>
    <xf numFmtId="0" fontId="3" fillId="0" borderId="14" xfId="0" applyFont="1" applyBorder="1"/>
    <xf numFmtId="168" fontId="0" fillId="0" borderId="10" xfId="0" applyNumberFormat="1" applyBorder="1"/>
    <xf numFmtId="0" fontId="0" fillId="0" borderId="14" xfId="0" applyBorder="1"/>
    <xf numFmtId="166" fontId="0" fillId="0" borderId="10" xfId="0" applyNumberFormat="1" applyBorder="1"/>
    <xf numFmtId="1" fontId="0" fillId="0" borderId="10" xfId="0" applyNumberFormat="1" applyBorder="1" applyAlignment="1">
      <alignment horizontal="center"/>
    </xf>
    <xf numFmtId="1" fontId="0" fillId="0" borderId="10" xfId="0" applyNumberFormat="1" applyBorder="1"/>
    <xf numFmtId="168" fontId="2" fillId="28" borderId="10" xfId="0" applyNumberFormat="1" applyFont="1" applyFill="1" applyBorder="1" applyAlignment="1">
      <alignment horizontal="center"/>
    </xf>
    <xf numFmtId="3" fontId="0" fillId="0" borderId="10" xfId="0" applyNumberFormat="1" applyBorder="1"/>
    <xf numFmtId="0" fontId="5" fillId="0" borderId="10" xfId="0" quotePrefix="1" applyFont="1" applyBorder="1" applyAlignment="1">
      <alignment horizontal="left"/>
    </xf>
    <xf numFmtId="164" fontId="18" fillId="0" borderId="10" xfId="1" applyFont="1" applyBorder="1"/>
    <xf numFmtId="164" fontId="5" fillId="0" borderId="10" xfId="1" applyFont="1" applyBorder="1"/>
    <xf numFmtId="0" fontId="23" fillId="0" borderId="49" xfId="0" applyFont="1" applyBorder="1" applyAlignment="1">
      <alignment horizontal="left"/>
    </xf>
    <xf numFmtId="0" fontId="2" fillId="0" borderId="26" xfId="0" applyFont="1" applyBorder="1" applyAlignment="1">
      <alignment horizontal="center"/>
    </xf>
    <xf numFmtId="3" fontId="2" fillId="0" borderId="26" xfId="0" applyNumberFormat="1" applyFont="1" applyBorder="1" applyAlignment="1">
      <alignment horizontal="center"/>
    </xf>
    <xf numFmtId="167" fontId="2" fillId="0" borderId="26" xfId="0" applyNumberFormat="1" applyFont="1" applyBorder="1" applyAlignment="1">
      <alignment horizontal="center"/>
    </xf>
    <xf numFmtId="0" fontId="0" fillId="0" borderId="26" xfId="0" applyBorder="1"/>
    <xf numFmtId="0" fontId="0" fillId="0" borderId="28" xfId="0" applyBorder="1"/>
    <xf numFmtId="0" fontId="1" fillId="0" borderId="10" xfId="0" applyFont="1" applyBorder="1"/>
    <xf numFmtId="0" fontId="1" fillId="0" borderId="10" xfId="0" applyFont="1" applyBorder="1" applyAlignment="1">
      <alignment horizontal="left"/>
    </xf>
    <xf numFmtId="0" fontId="2" fillId="0" borderId="51" xfId="0" applyFont="1" applyBorder="1"/>
    <xf numFmtId="0" fontId="4" fillId="27" borderId="20" xfId="0" applyFont="1" applyFill="1" applyBorder="1" applyAlignment="1">
      <alignment horizontal="center"/>
    </xf>
    <xf numFmtId="0" fontId="1" fillId="0" borderId="0" xfId="44"/>
    <xf numFmtId="0" fontId="1" fillId="0" borderId="10" xfId="44" applyBorder="1" applyAlignment="1">
      <alignment horizontal="center"/>
    </xf>
    <xf numFmtId="2" fontId="1" fillId="0" borderId="10" xfId="44" applyNumberFormat="1" applyBorder="1" applyAlignment="1">
      <alignment horizontal="center" vertical="center"/>
    </xf>
    <xf numFmtId="2" fontId="1" fillId="0" borderId="10" xfId="45" applyNumberFormat="1" applyBorder="1" applyAlignment="1">
      <alignment horizontal="center" vertical="center"/>
    </xf>
    <xf numFmtId="0" fontId="1" fillId="0" borderId="14" xfId="44" applyBorder="1" applyAlignment="1">
      <alignment horizontal="left" vertical="center"/>
    </xf>
    <xf numFmtId="0" fontId="2" fillId="0" borderId="12" xfId="44" applyFont="1" applyBorder="1" applyAlignment="1">
      <alignment horizontal="center"/>
    </xf>
    <xf numFmtId="0" fontId="2" fillId="0" borderId="12" xfId="44" applyFont="1" applyBorder="1" applyAlignment="1">
      <alignment horizontal="center" vertical="center"/>
    </xf>
    <xf numFmtId="0" fontId="2" fillId="0" borderId="11" xfId="44" applyFont="1" applyBorder="1" applyAlignment="1">
      <alignment horizontal="center" vertical="center"/>
    </xf>
    <xf numFmtId="0" fontId="27" fillId="0" borderId="0" xfId="44" applyFont="1" applyAlignment="1">
      <alignment horizontal="center" vertical="center" readingOrder="1"/>
    </xf>
    <xf numFmtId="0" fontId="1" fillId="0" borderId="25" xfId="44" applyBorder="1"/>
    <xf numFmtId="0" fontId="1" fillId="0" borderId="24" xfId="44" applyBorder="1"/>
    <xf numFmtId="0" fontId="0" fillId="0" borderId="51" xfId="0" applyBorder="1"/>
    <xf numFmtId="0" fontId="1" fillId="0" borderId="22" xfId="44" applyBorder="1"/>
    <xf numFmtId="166" fontId="1" fillId="29" borderId="0" xfId="44" applyNumberFormat="1" applyFill="1"/>
    <xf numFmtId="0" fontId="1" fillId="0" borderId="23" xfId="44" applyBorder="1"/>
    <xf numFmtId="1" fontId="2" fillId="30" borderId="15" xfId="44" applyNumberFormat="1" applyFont="1" applyFill="1" applyBorder="1" applyAlignment="1">
      <alignment horizontal="center"/>
    </xf>
    <xf numFmtId="166" fontId="2" fillId="25" borderId="10" xfId="44" applyNumberFormat="1" applyFont="1" applyFill="1" applyBorder="1" applyAlignment="1">
      <alignment horizontal="center"/>
    </xf>
    <xf numFmtId="0" fontId="2" fillId="0" borderId="10" xfId="44" applyFont="1" applyBorder="1" applyAlignment="1">
      <alignment horizontal="center"/>
    </xf>
    <xf numFmtId="0" fontId="2" fillId="0" borderId="14" xfId="44" applyFont="1" applyBorder="1" applyAlignment="1">
      <alignment horizontal="left" vertical="center"/>
    </xf>
    <xf numFmtId="0" fontId="2" fillId="30" borderId="15" xfId="0" applyFont="1" applyFill="1" applyBorder="1" applyAlignment="1">
      <alignment horizontal="center"/>
    </xf>
    <xf numFmtId="0" fontId="2" fillId="25" borderId="10" xfId="0" applyFont="1" applyFill="1" applyBorder="1" applyAlignment="1">
      <alignment horizontal="center"/>
    </xf>
    <xf numFmtId="0" fontId="2" fillId="0" borderId="0" xfId="44" applyFont="1"/>
    <xf numFmtId="0" fontId="2" fillId="29" borderId="0" xfId="0" applyFont="1" applyFill="1"/>
    <xf numFmtId="0" fontId="2" fillId="23" borderId="35" xfId="44" applyFont="1" applyFill="1" applyBorder="1" applyAlignment="1" applyProtection="1">
      <alignment horizontal="center"/>
      <protection locked="0"/>
    </xf>
    <xf numFmtId="0" fontId="1" fillId="0" borderId="21" xfId="44" applyBorder="1"/>
    <xf numFmtId="0" fontId="1" fillId="0" borderId="20" xfId="44" applyBorder="1"/>
    <xf numFmtId="0" fontId="2" fillId="0" borderId="20" xfId="44" applyFont="1" applyBorder="1"/>
    <xf numFmtId="0" fontId="2" fillId="0" borderId="19" xfId="44" applyFont="1" applyBorder="1"/>
    <xf numFmtId="0" fontId="1" fillId="29" borderId="0" xfId="44" applyFill="1"/>
    <xf numFmtId="14" fontId="25" fillId="27" borderId="21" xfId="0" applyNumberFormat="1" applyFont="1" applyFill="1" applyBorder="1" applyAlignment="1">
      <alignment horizontal="right"/>
    </xf>
    <xf numFmtId="0" fontId="2" fillId="0" borderId="14" xfId="44" applyFont="1" applyBorder="1" applyAlignment="1">
      <alignment horizontal="left"/>
    </xf>
    <xf numFmtId="0" fontId="2" fillId="31" borderId="14" xfId="44" applyFont="1" applyFill="1" applyBorder="1" applyAlignment="1">
      <alignment horizontal="left"/>
    </xf>
    <xf numFmtId="0" fontId="2" fillId="31" borderId="10" xfId="0" applyFont="1" applyFill="1" applyBorder="1" applyAlignment="1">
      <alignment horizontal="center"/>
    </xf>
    <xf numFmtId="0" fontId="2" fillId="0" borderId="32" xfId="44" applyFont="1" applyBorder="1" applyAlignment="1">
      <alignment horizontal="center" vertical="center"/>
    </xf>
    <xf numFmtId="0" fontId="2" fillId="31" borderId="14" xfId="44" applyFont="1" applyFill="1" applyBorder="1" applyAlignment="1">
      <alignment horizontal="left" vertical="center"/>
    </xf>
    <xf numFmtId="0" fontId="2" fillId="31" borderId="10" xfId="44" applyFont="1" applyFill="1" applyBorder="1" applyAlignment="1">
      <alignment horizontal="center"/>
    </xf>
    <xf numFmtId="166" fontId="0" fillId="0" borderId="0" xfId="0" applyNumberFormat="1" applyAlignment="1">
      <alignment horizontal="center"/>
    </xf>
    <xf numFmtId="0" fontId="0" fillId="0" borderId="0" xfId="0" applyAlignment="1">
      <alignment horizontal="left" vertical="center"/>
    </xf>
    <xf numFmtId="0" fontId="2" fillId="0" borderId="12" xfId="0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166" fontId="0" fillId="29" borderId="0" xfId="0" applyNumberFormat="1" applyFill="1"/>
    <xf numFmtId="0" fontId="2" fillId="23" borderId="0" xfId="0" applyFont="1" applyFill="1" applyAlignment="1" applyProtection="1">
      <alignment horizontal="center"/>
      <protection locked="0"/>
    </xf>
    <xf numFmtId="0" fontId="0" fillId="0" borderId="21" xfId="0" applyBorder="1"/>
    <xf numFmtId="0" fontId="0" fillId="0" borderId="20" xfId="0" applyBorder="1"/>
    <xf numFmtId="0" fontId="2" fillId="0" borderId="20" xfId="0" applyFont="1" applyBorder="1"/>
    <xf numFmtId="0" fontId="2" fillId="0" borderId="19" xfId="0" applyFont="1" applyBorder="1"/>
    <xf numFmtId="0" fontId="0" fillId="29" borderId="0" xfId="0" applyFill="1"/>
    <xf numFmtId="0" fontId="1" fillId="26" borderId="56" xfId="44" applyFill="1" applyBorder="1" applyAlignment="1">
      <alignment horizontal="left" vertical="center"/>
    </xf>
    <xf numFmtId="0" fontId="1" fillId="0" borderId="51" xfId="0" applyFont="1" applyBorder="1"/>
    <xf numFmtId="14" fontId="25" fillId="27" borderId="20" xfId="0" applyNumberFormat="1" applyFont="1" applyFill="1" applyBorder="1" applyAlignment="1">
      <alignment horizontal="right"/>
    </xf>
    <xf numFmtId="0" fontId="0" fillId="0" borderId="57" xfId="0" applyBorder="1"/>
    <xf numFmtId="0" fontId="0" fillId="0" borderId="58" xfId="0" applyBorder="1"/>
    <xf numFmtId="0" fontId="0" fillId="0" borderId="59" xfId="0" applyBorder="1"/>
    <xf numFmtId="0" fontId="23" fillId="0" borderId="60" xfId="0" applyFont="1" applyBorder="1" applyAlignment="1">
      <alignment horizontal="center"/>
    </xf>
    <xf numFmtId="3" fontId="2" fillId="0" borderId="59" xfId="0" applyNumberFormat="1" applyFont="1" applyBorder="1" applyAlignment="1">
      <alignment horizontal="center"/>
    </xf>
    <xf numFmtId="3" fontId="2" fillId="25" borderId="61" xfId="0" applyNumberFormat="1" applyFont="1" applyFill="1" applyBorder="1" applyAlignment="1">
      <alignment horizontal="center"/>
    </xf>
    <xf numFmtId="3" fontId="2" fillId="25" borderId="62" xfId="0" applyNumberFormat="1" applyFont="1" applyFill="1" applyBorder="1" applyAlignment="1">
      <alignment horizontal="center"/>
    </xf>
    <xf numFmtId="3" fontId="2" fillId="30" borderId="62" xfId="0" applyNumberFormat="1" applyFont="1" applyFill="1" applyBorder="1" applyAlignment="1">
      <alignment horizontal="center"/>
    </xf>
    <xf numFmtId="3" fontId="2" fillId="23" borderId="63" xfId="0" applyNumberFormat="1" applyFont="1" applyFill="1" applyBorder="1" applyAlignment="1">
      <alignment horizontal="center"/>
    </xf>
    <xf numFmtId="3" fontId="2" fillId="23" borderId="63" xfId="0" quotePrefix="1" applyNumberFormat="1" applyFont="1" applyFill="1" applyBorder="1" applyAlignment="1">
      <alignment horizontal="center"/>
    </xf>
    <xf numFmtId="3" fontId="2" fillId="25" borderId="64" xfId="0" applyNumberFormat="1" applyFont="1" applyFill="1" applyBorder="1" applyAlignment="1">
      <alignment horizontal="center"/>
    </xf>
    <xf numFmtId="3" fontId="2" fillId="25" borderId="10" xfId="0" applyNumberFormat="1" applyFont="1" applyFill="1" applyBorder="1" applyAlignment="1">
      <alignment horizontal="center"/>
    </xf>
    <xf numFmtId="3" fontId="2" fillId="30" borderId="10" xfId="0" applyNumberFormat="1" applyFont="1" applyFill="1" applyBorder="1" applyAlignment="1">
      <alignment horizontal="center"/>
    </xf>
    <xf numFmtId="3" fontId="2" fillId="23" borderId="65" xfId="0" applyNumberFormat="1" applyFont="1" applyFill="1" applyBorder="1" applyAlignment="1">
      <alignment horizontal="center"/>
    </xf>
    <xf numFmtId="0" fontId="2" fillId="25" borderId="64" xfId="0" applyFont="1" applyFill="1" applyBorder="1" applyAlignment="1">
      <alignment horizontal="center"/>
    </xf>
    <xf numFmtId="0" fontId="2" fillId="30" borderId="10" xfId="0" applyFont="1" applyFill="1" applyBorder="1" applyAlignment="1">
      <alignment horizontal="center"/>
    </xf>
    <xf numFmtId="0" fontId="2" fillId="23" borderId="65" xfId="0" applyFont="1" applyFill="1" applyBorder="1" applyAlignment="1">
      <alignment horizontal="center"/>
    </xf>
    <xf numFmtId="0" fontId="0" fillId="0" borderId="60" xfId="0" applyBorder="1"/>
    <xf numFmtId="0" fontId="23" fillId="30" borderId="10" xfId="0" applyFont="1" applyFill="1" applyBorder="1" applyAlignment="1">
      <alignment horizontal="center"/>
    </xf>
    <xf numFmtId="0" fontId="23" fillId="23" borderId="65" xfId="0" applyFont="1" applyFill="1" applyBorder="1" applyAlignment="1">
      <alignment horizontal="center"/>
    </xf>
    <xf numFmtId="0" fontId="2" fillId="0" borderId="59" xfId="0" applyFont="1" applyBorder="1" applyAlignment="1">
      <alignment horizontal="center"/>
    </xf>
    <xf numFmtId="0" fontId="0" fillId="0" borderId="62" xfId="0" applyBorder="1"/>
    <xf numFmtId="0" fontId="0" fillId="0" borderId="63" xfId="0" applyBorder="1"/>
    <xf numFmtId="0" fontId="0" fillId="0" borderId="65" xfId="0" applyBorder="1"/>
    <xf numFmtId="0" fontId="0" fillId="0" borderId="29" xfId="0" applyBorder="1"/>
    <xf numFmtId="0" fontId="1" fillId="0" borderId="10" xfId="0" applyFont="1" applyBorder="1" applyAlignment="1">
      <alignment horizontal="center"/>
    </xf>
    <xf numFmtId="0" fontId="1" fillId="0" borderId="62" xfId="0" applyFont="1" applyBorder="1" applyAlignment="1">
      <alignment horizontal="center"/>
    </xf>
    <xf numFmtId="0" fontId="1" fillId="0" borderId="63" xfId="0" applyFont="1" applyBorder="1" applyAlignment="1">
      <alignment horizontal="center"/>
    </xf>
    <xf numFmtId="0" fontId="1" fillId="0" borderId="65" xfId="0" applyFont="1" applyBorder="1" applyAlignment="1">
      <alignment horizontal="center"/>
    </xf>
    <xf numFmtId="0" fontId="2" fillId="0" borderId="60" xfId="0" applyFont="1" applyBorder="1"/>
    <xf numFmtId="0" fontId="1" fillId="0" borderId="60" xfId="0" applyFont="1" applyBorder="1"/>
    <xf numFmtId="0" fontId="1" fillId="0" borderId="65" xfId="0" quotePrefix="1" applyFont="1" applyBorder="1" applyAlignment="1">
      <alignment horizontal="center"/>
    </xf>
    <xf numFmtId="0" fontId="1" fillId="0" borderId="10" xfId="0" quotePrefix="1" applyFont="1" applyBorder="1" applyAlignment="1">
      <alignment horizontal="center"/>
    </xf>
    <xf numFmtId="0" fontId="0" fillId="0" borderId="65" xfId="0" applyBorder="1" applyAlignment="1">
      <alignment horizontal="center"/>
    </xf>
    <xf numFmtId="0" fontId="1" fillId="0" borderId="29" xfId="0" applyFont="1" applyBorder="1" applyAlignment="1">
      <alignment horizontal="center"/>
    </xf>
    <xf numFmtId="0" fontId="0" fillId="0" borderId="29" xfId="0" applyBorder="1" applyAlignment="1">
      <alignment horizontal="center"/>
    </xf>
    <xf numFmtId="0" fontId="0" fillId="0" borderId="32" xfId="0" applyBorder="1" applyAlignment="1">
      <alignment horizontal="center"/>
    </xf>
    <xf numFmtId="0" fontId="1" fillId="0" borderId="0" xfId="0" applyFont="1"/>
    <xf numFmtId="0" fontId="2" fillId="23" borderId="61" xfId="0" applyFont="1" applyFill="1" applyBorder="1" applyAlignment="1">
      <alignment horizontal="center"/>
    </xf>
    <xf numFmtId="0" fontId="2" fillId="23" borderId="62" xfId="0" applyFont="1" applyFill="1" applyBorder="1" applyAlignment="1">
      <alignment horizontal="center"/>
    </xf>
    <xf numFmtId="0" fontId="2" fillId="23" borderId="63" xfId="0" applyFont="1" applyFill="1" applyBorder="1" applyAlignment="1">
      <alignment horizontal="center"/>
    </xf>
    <xf numFmtId="0" fontId="2" fillId="32" borderId="61" xfId="0" applyFont="1" applyFill="1" applyBorder="1" applyAlignment="1">
      <alignment horizontal="center"/>
    </xf>
    <xf numFmtId="0" fontId="2" fillId="32" borderId="62" xfId="0" applyFont="1" applyFill="1" applyBorder="1" applyAlignment="1">
      <alignment horizontal="center"/>
    </xf>
    <xf numFmtId="0" fontId="2" fillId="27" borderId="62" xfId="0" applyFont="1" applyFill="1" applyBorder="1" applyAlignment="1">
      <alignment horizontal="center"/>
    </xf>
    <xf numFmtId="0" fontId="2" fillId="27" borderId="63" xfId="0" applyFont="1" applyFill="1" applyBorder="1" applyAlignment="1">
      <alignment horizontal="center"/>
    </xf>
    <xf numFmtId="3" fontId="2" fillId="0" borderId="61" xfId="0" applyNumberFormat="1" applyFont="1" applyBorder="1" applyAlignment="1">
      <alignment horizontal="center"/>
    </xf>
    <xf numFmtId="3" fontId="2" fillId="0" borderId="63" xfId="0" applyNumberFormat="1" applyFont="1" applyBorder="1" applyAlignment="1">
      <alignment horizontal="center"/>
    </xf>
    <xf numFmtId="0" fontId="2" fillId="0" borderId="75" xfId="0" applyFont="1" applyBorder="1"/>
    <xf numFmtId="0" fontId="2" fillId="23" borderId="64" xfId="0" applyFont="1" applyFill="1" applyBorder="1" applyAlignment="1">
      <alignment horizontal="center"/>
    </xf>
    <xf numFmtId="0" fontId="2" fillId="23" borderId="10" xfId="0" applyFont="1" applyFill="1" applyBorder="1" applyAlignment="1">
      <alignment horizontal="center"/>
    </xf>
    <xf numFmtId="0" fontId="2" fillId="32" borderId="64" xfId="0" applyFont="1" applyFill="1" applyBorder="1" applyAlignment="1">
      <alignment horizontal="center"/>
    </xf>
    <xf numFmtId="0" fontId="2" fillId="32" borderId="10" xfId="0" applyFont="1" applyFill="1" applyBorder="1" applyAlignment="1">
      <alignment horizontal="center"/>
    </xf>
    <xf numFmtId="0" fontId="2" fillId="27" borderId="10" xfId="0" applyFont="1" applyFill="1" applyBorder="1" applyAlignment="1">
      <alignment horizontal="center"/>
    </xf>
    <xf numFmtId="0" fontId="2" fillId="27" borderId="65" xfId="0" applyFont="1" applyFill="1" applyBorder="1" applyAlignment="1">
      <alignment horizontal="center"/>
    </xf>
    <xf numFmtId="3" fontId="2" fillId="33" borderId="64" xfId="0" applyNumberFormat="1" applyFont="1" applyFill="1" applyBorder="1" applyAlignment="1">
      <alignment horizontal="center"/>
    </xf>
    <xf numFmtId="3" fontId="2" fillId="33" borderId="65" xfId="0" applyNumberFormat="1" applyFont="1" applyFill="1" applyBorder="1" applyAlignment="1">
      <alignment horizontal="center"/>
    </xf>
    <xf numFmtId="3" fontId="2" fillId="0" borderId="64" xfId="0" applyNumberFormat="1" applyFont="1" applyBorder="1" applyAlignment="1">
      <alignment horizontal="center"/>
    </xf>
    <xf numFmtId="3" fontId="2" fillId="0" borderId="65" xfId="0" applyNumberFormat="1" applyFont="1" applyBorder="1" applyAlignment="1">
      <alignment horizontal="center"/>
    </xf>
    <xf numFmtId="3" fontId="2" fillId="32" borderId="64" xfId="0" applyNumberFormat="1" applyFont="1" applyFill="1" applyBorder="1" applyAlignment="1">
      <alignment horizontal="center"/>
    </xf>
    <xf numFmtId="3" fontId="2" fillId="32" borderId="10" xfId="0" applyNumberFormat="1" applyFont="1" applyFill="1" applyBorder="1" applyAlignment="1">
      <alignment horizontal="center"/>
    </xf>
    <xf numFmtId="3" fontId="2" fillId="27" borderId="10" xfId="0" applyNumberFormat="1" applyFont="1" applyFill="1" applyBorder="1" applyAlignment="1">
      <alignment horizontal="center"/>
    </xf>
    <xf numFmtId="3" fontId="2" fillId="27" borderId="65" xfId="0" applyNumberFormat="1" applyFont="1" applyFill="1" applyBorder="1" applyAlignment="1">
      <alignment horizontal="center"/>
    </xf>
    <xf numFmtId="3" fontId="2" fillId="32" borderId="10" xfId="0" applyNumberFormat="1" applyFont="1" applyFill="1" applyBorder="1"/>
    <xf numFmtId="0" fontId="2" fillId="32" borderId="76" xfId="0" applyFont="1" applyFill="1" applyBorder="1" applyAlignment="1">
      <alignment horizontal="center"/>
    </xf>
    <xf numFmtId="0" fontId="2" fillId="32" borderId="32" xfId="0" applyFont="1" applyFill="1" applyBorder="1" applyAlignment="1">
      <alignment horizontal="center"/>
    </xf>
    <xf numFmtId="0" fontId="2" fillId="27" borderId="32" xfId="0" applyFont="1" applyFill="1" applyBorder="1" applyAlignment="1">
      <alignment horizontal="center"/>
    </xf>
    <xf numFmtId="0" fontId="2" fillId="27" borderId="70" xfId="0" applyFont="1" applyFill="1" applyBorder="1" applyAlignment="1">
      <alignment horizontal="center"/>
    </xf>
    <xf numFmtId="0" fontId="2" fillId="33" borderId="64" xfId="0" applyFont="1" applyFill="1" applyBorder="1" applyAlignment="1">
      <alignment horizontal="center"/>
    </xf>
    <xf numFmtId="0" fontId="2" fillId="0" borderId="64" xfId="0" applyFont="1" applyBorder="1" applyAlignment="1">
      <alignment horizontal="center"/>
    </xf>
    <xf numFmtId="0" fontId="2" fillId="0" borderId="65" xfId="0" applyFont="1" applyBorder="1" applyAlignment="1">
      <alignment horizontal="center"/>
    </xf>
    <xf numFmtId="0" fontId="23" fillId="0" borderId="59" xfId="0" applyFont="1" applyBorder="1" applyAlignment="1">
      <alignment horizontal="center"/>
    </xf>
    <xf numFmtId="0" fontId="2" fillId="23" borderId="76" xfId="0" applyFont="1" applyFill="1" applyBorder="1" applyAlignment="1">
      <alignment horizontal="center"/>
    </xf>
    <xf numFmtId="0" fontId="2" fillId="23" borderId="32" xfId="0" applyFont="1" applyFill="1" applyBorder="1" applyAlignment="1">
      <alignment horizontal="center"/>
    </xf>
    <xf numFmtId="0" fontId="2" fillId="23" borderId="70" xfId="0" applyFont="1" applyFill="1" applyBorder="1" applyAlignment="1">
      <alignment horizontal="center"/>
    </xf>
    <xf numFmtId="0" fontId="2" fillId="33" borderId="76" xfId="0" applyFont="1" applyFill="1" applyBorder="1" applyAlignment="1">
      <alignment horizontal="center"/>
    </xf>
    <xf numFmtId="0" fontId="2" fillId="33" borderId="70" xfId="0" applyFont="1" applyFill="1" applyBorder="1" applyAlignment="1">
      <alignment horizontal="center"/>
    </xf>
    <xf numFmtId="0" fontId="2" fillId="23" borderId="77" xfId="0" applyFont="1" applyFill="1" applyBorder="1" applyAlignment="1">
      <alignment horizontal="center"/>
    </xf>
    <xf numFmtId="0" fontId="2" fillId="23" borderId="78" xfId="0" applyFont="1" applyFill="1" applyBorder="1" applyAlignment="1">
      <alignment horizontal="center"/>
    </xf>
    <xf numFmtId="0" fontId="2" fillId="0" borderId="61" xfId="0" applyFont="1" applyBorder="1" applyAlignment="1">
      <alignment horizontal="center"/>
    </xf>
    <xf numFmtId="0" fontId="2" fillId="0" borderId="63" xfId="0" applyFont="1" applyBorder="1" applyAlignment="1">
      <alignment horizontal="center"/>
    </xf>
    <xf numFmtId="0" fontId="2" fillId="23" borderId="26" xfId="0" applyFont="1" applyFill="1" applyBorder="1" applyAlignment="1">
      <alignment horizontal="center"/>
    </xf>
    <xf numFmtId="0" fontId="2" fillId="0" borderId="76" xfId="0" applyFont="1" applyBorder="1" applyAlignment="1">
      <alignment horizontal="center"/>
    </xf>
    <xf numFmtId="0" fontId="2" fillId="0" borderId="70" xfId="0" applyFont="1" applyBorder="1" applyAlignment="1">
      <alignment horizontal="center"/>
    </xf>
    <xf numFmtId="0" fontId="2" fillId="0" borderId="24" xfId="0" applyFont="1" applyBorder="1"/>
    <xf numFmtId="0" fontId="2" fillId="0" borderId="22" xfId="0" applyFont="1" applyBorder="1"/>
    <xf numFmtId="3" fontId="2" fillId="26" borderId="64" xfId="0" applyNumberFormat="1" applyFont="1" applyFill="1" applyBorder="1" applyAlignment="1">
      <alignment horizontal="center"/>
    </xf>
    <xf numFmtId="3" fontId="2" fillId="26" borderId="65" xfId="0" applyNumberFormat="1" applyFont="1" applyFill="1" applyBorder="1" applyAlignment="1">
      <alignment horizontal="center"/>
    </xf>
    <xf numFmtId="0" fontId="2" fillId="26" borderId="64" xfId="0" applyFont="1" applyFill="1" applyBorder="1" applyAlignment="1">
      <alignment horizontal="center"/>
    </xf>
    <xf numFmtId="0" fontId="2" fillId="26" borderId="76" xfId="0" applyFont="1" applyFill="1" applyBorder="1" applyAlignment="1">
      <alignment horizontal="center"/>
    </xf>
    <xf numFmtId="0" fontId="2" fillId="26" borderId="70" xfId="0" applyFont="1" applyFill="1" applyBorder="1" applyAlignment="1">
      <alignment horizontal="center"/>
    </xf>
    <xf numFmtId="3" fontId="2" fillId="0" borderId="76" xfId="0" applyNumberFormat="1" applyFont="1" applyBorder="1" applyAlignment="1">
      <alignment horizontal="center"/>
    </xf>
    <xf numFmtId="0" fontId="2" fillId="0" borderId="79" xfId="0" applyFont="1" applyBorder="1" applyAlignment="1">
      <alignment horizontal="center"/>
    </xf>
    <xf numFmtId="0" fontId="2" fillId="0" borderId="80" xfId="0" applyFont="1" applyBorder="1" applyAlignment="1">
      <alignment horizontal="center"/>
    </xf>
    <xf numFmtId="0" fontId="2" fillId="30" borderId="35" xfId="0" applyFont="1" applyFill="1" applyBorder="1" applyAlignment="1">
      <alignment horizontal="center"/>
    </xf>
    <xf numFmtId="3" fontId="2" fillId="23" borderId="35" xfId="0" applyNumberFormat="1" applyFont="1" applyFill="1" applyBorder="1" applyAlignment="1" applyProtection="1">
      <alignment horizontal="center"/>
      <protection locked="0"/>
    </xf>
    <xf numFmtId="0" fontId="2" fillId="30" borderId="72" xfId="0" applyFont="1" applyFill="1" applyBorder="1" applyAlignment="1">
      <alignment horizontal="center"/>
    </xf>
    <xf numFmtId="0" fontId="2" fillId="30" borderId="74" xfId="0" applyFont="1" applyFill="1" applyBorder="1" applyAlignment="1">
      <alignment horizontal="center"/>
    </xf>
    <xf numFmtId="167" fontId="2" fillId="24" borderId="81" xfId="34" applyNumberFormat="1" applyFont="1" applyFill="1" applyBorder="1" applyAlignment="1">
      <alignment horizontal="center"/>
    </xf>
    <xf numFmtId="0" fontId="2" fillId="24" borderId="35" xfId="0" applyFont="1" applyFill="1" applyBorder="1" applyAlignment="1">
      <alignment horizontal="center"/>
    </xf>
    <xf numFmtId="0" fontId="2" fillId="24" borderId="73" xfId="0" applyFont="1" applyFill="1" applyBorder="1"/>
    <xf numFmtId="0" fontId="2" fillId="24" borderId="74" xfId="0" applyFont="1" applyFill="1" applyBorder="1"/>
    <xf numFmtId="0" fontId="2" fillId="0" borderId="62" xfId="0" applyFont="1" applyBorder="1" applyAlignment="1">
      <alignment horizontal="center"/>
    </xf>
    <xf numFmtId="0" fontId="2" fillId="0" borderId="63" xfId="0" applyFont="1" applyBorder="1" applyAlignment="1">
      <alignment horizontal="left"/>
    </xf>
    <xf numFmtId="0" fontId="2" fillId="0" borderId="65" xfId="0" applyFont="1" applyBorder="1" applyAlignment="1">
      <alignment horizontal="left"/>
    </xf>
    <xf numFmtId="0" fontId="2" fillId="0" borderId="66" xfId="0" applyFont="1" applyBorder="1" applyAlignment="1">
      <alignment horizontal="center"/>
    </xf>
    <xf numFmtId="0" fontId="2" fillId="0" borderId="67" xfId="0" applyFont="1" applyBorder="1" applyAlignment="1">
      <alignment horizontal="center"/>
    </xf>
    <xf numFmtId="0" fontId="2" fillId="0" borderId="68" xfId="0" applyFont="1" applyBorder="1" applyAlignment="1">
      <alignment horizontal="left"/>
    </xf>
    <xf numFmtId="0" fontId="2" fillId="25" borderId="82" xfId="0" applyFont="1" applyFill="1" applyBorder="1" applyAlignment="1">
      <alignment horizontal="center"/>
    </xf>
    <xf numFmtId="0" fontId="2" fillId="25" borderId="83" xfId="0" applyFont="1" applyFill="1" applyBorder="1" applyAlignment="1">
      <alignment horizontal="center"/>
    </xf>
    <xf numFmtId="0" fontId="2" fillId="25" borderId="57" xfId="0" applyFont="1" applyFill="1" applyBorder="1"/>
    <xf numFmtId="0" fontId="2" fillId="25" borderId="58" xfId="0" applyFont="1" applyFill="1" applyBorder="1"/>
    <xf numFmtId="0" fontId="2" fillId="25" borderId="75" xfId="0" applyFont="1" applyFill="1" applyBorder="1"/>
    <xf numFmtId="0" fontId="2" fillId="25" borderId="84" xfId="0" applyFont="1" applyFill="1" applyBorder="1" applyAlignment="1">
      <alignment horizontal="center"/>
    </xf>
    <xf numFmtId="0" fontId="2" fillId="25" borderId="85" xfId="0" applyFont="1" applyFill="1" applyBorder="1" applyAlignment="1">
      <alignment horizontal="center"/>
    </xf>
    <xf numFmtId="0" fontId="2" fillId="25" borderId="86" xfId="0" applyFont="1" applyFill="1" applyBorder="1"/>
    <xf numFmtId="0" fontId="2" fillId="25" borderId="87" xfId="0" applyFont="1" applyFill="1" applyBorder="1"/>
    <xf numFmtId="0" fontId="2" fillId="25" borderId="88" xfId="0" applyFont="1" applyFill="1" applyBorder="1"/>
    <xf numFmtId="0" fontId="23" fillId="0" borderId="59" xfId="0" applyFont="1" applyBorder="1"/>
    <xf numFmtId="0" fontId="30" fillId="0" borderId="23" xfId="0" applyFont="1" applyBorder="1"/>
    <xf numFmtId="0" fontId="4" fillId="0" borderId="0" xfId="0" applyFont="1" applyAlignment="1">
      <alignment horizontal="left"/>
    </xf>
    <xf numFmtId="0" fontId="0" fillId="0" borderId="86" xfId="0" applyBorder="1"/>
    <xf numFmtId="0" fontId="0" fillId="0" borderId="87" xfId="0" applyBorder="1"/>
    <xf numFmtId="0" fontId="24" fillId="0" borderId="87" xfId="0" applyFont="1" applyBorder="1" applyAlignment="1">
      <alignment horizontal="right"/>
    </xf>
    <xf numFmtId="0" fontId="2" fillId="26" borderId="18" xfId="0" applyFont="1" applyFill="1" applyBorder="1" applyAlignment="1">
      <alignment horizontal="center"/>
    </xf>
    <xf numFmtId="166" fontId="2" fillId="26" borderId="17" xfId="0" applyNumberFormat="1" applyFont="1" applyFill="1" applyBorder="1" applyAlignment="1">
      <alignment horizontal="center"/>
    </xf>
    <xf numFmtId="0" fontId="2" fillId="26" borderId="16" xfId="0" applyFont="1" applyFill="1" applyBorder="1" applyAlignment="1">
      <alignment horizontal="center"/>
    </xf>
    <xf numFmtId="167" fontId="2" fillId="0" borderId="0" xfId="0" applyNumberFormat="1" applyFont="1" applyAlignment="1">
      <alignment horizontal="center"/>
    </xf>
    <xf numFmtId="0" fontId="23" fillId="0" borderId="23" xfId="0" applyFont="1" applyBorder="1" applyAlignment="1">
      <alignment horizontal="left"/>
    </xf>
    <xf numFmtId="166" fontId="0" fillId="0" borderId="0" xfId="0" applyNumberFormat="1"/>
    <xf numFmtId="1" fontId="0" fillId="0" borderId="0" xfId="0" applyNumberFormat="1"/>
    <xf numFmtId="0" fontId="3" fillId="0" borderId="23" xfId="0" applyFont="1" applyBorder="1"/>
    <xf numFmtId="0" fontId="1" fillId="0" borderId="0" xfId="0" applyFont="1" applyAlignment="1">
      <alignment horizontal="left"/>
    </xf>
    <xf numFmtId="164" fontId="1" fillId="0" borderId="0" xfId="47" applyFont="1" applyBorder="1"/>
    <xf numFmtId="0" fontId="1" fillId="0" borderId="0" xfId="0" applyFont="1" applyAlignment="1">
      <alignment horizontal="center"/>
    </xf>
    <xf numFmtId="0" fontId="23" fillId="0" borderId="23" xfId="0" applyFont="1" applyBorder="1"/>
    <xf numFmtId="168" fontId="0" fillId="0" borderId="0" xfId="0" applyNumberFormat="1"/>
    <xf numFmtId="0" fontId="1" fillId="0" borderId="0" xfId="0" quotePrefix="1" applyFont="1" applyAlignment="1">
      <alignment horizontal="left"/>
    </xf>
    <xf numFmtId="3" fontId="0" fillId="0" borderId="0" xfId="0" applyNumberFormat="1"/>
    <xf numFmtId="1" fontId="0" fillId="0" borderId="0" xfId="0" applyNumberFormat="1" applyAlignment="1">
      <alignment horizontal="center"/>
    </xf>
    <xf numFmtId="0" fontId="1" fillId="0" borderId="0" xfId="0" quotePrefix="1" applyFont="1"/>
    <xf numFmtId="0" fontId="0" fillId="0" borderId="0" xfId="0" applyAlignment="1">
      <alignment horizontal="right"/>
    </xf>
    <xf numFmtId="168" fontId="2" fillId="24" borderId="29" xfId="0" quotePrefix="1" applyNumberFormat="1" applyFont="1" applyFill="1" applyBorder="1" applyAlignment="1" applyProtection="1">
      <alignment horizontal="center"/>
      <protection hidden="1"/>
    </xf>
    <xf numFmtId="3" fontId="2" fillId="24" borderId="14" xfId="0" quotePrefix="1" applyNumberFormat="1" applyFont="1" applyFill="1" applyBorder="1" applyAlignment="1" applyProtection="1">
      <alignment horizontal="center"/>
      <protection hidden="1"/>
    </xf>
    <xf numFmtId="3" fontId="2" fillId="24" borderId="10" xfId="0" quotePrefix="1" applyNumberFormat="1" applyFont="1" applyFill="1" applyBorder="1" applyAlignment="1" applyProtection="1">
      <alignment horizontal="center"/>
      <protection hidden="1"/>
    </xf>
    <xf numFmtId="168" fontId="2" fillId="24" borderId="15" xfId="0" quotePrefix="1" applyNumberFormat="1" applyFont="1" applyFill="1" applyBorder="1" applyAlignment="1" applyProtection="1">
      <alignment horizontal="center"/>
      <protection hidden="1"/>
    </xf>
    <xf numFmtId="167" fontId="2" fillId="24" borderId="43" xfId="0" quotePrefix="1" applyNumberFormat="1" applyFont="1" applyFill="1" applyBorder="1" applyAlignment="1" applyProtection="1">
      <alignment horizontal="center"/>
      <protection hidden="1"/>
    </xf>
    <xf numFmtId="168" fontId="2" fillId="24" borderId="34" xfId="0" quotePrefix="1" applyNumberFormat="1" applyFont="1" applyFill="1" applyBorder="1" applyAlignment="1" applyProtection="1">
      <alignment horizontal="center"/>
      <protection hidden="1"/>
    </xf>
    <xf numFmtId="1" fontId="2" fillId="24" borderId="16" xfId="0" quotePrefix="1" applyNumberFormat="1" applyFont="1" applyFill="1" applyBorder="1" applyAlignment="1" applyProtection="1">
      <alignment horizontal="center"/>
      <protection hidden="1"/>
    </xf>
    <xf numFmtId="1" fontId="2" fillId="24" borderId="17" xfId="0" quotePrefix="1" applyNumberFormat="1" applyFont="1" applyFill="1" applyBorder="1" applyAlignment="1" applyProtection="1">
      <alignment horizontal="center"/>
      <protection hidden="1"/>
    </xf>
    <xf numFmtId="166" fontId="2" fillId="24" borderId="17" xfId="0" quotePrefix="1" applyNumberFormat="1" applyFont="1" applyFill="1" applyBorder="1" applyAlignment="1" applyProtection="1">
      <alignment horizontal="center"/>
      <protection hidden="1"/>
    </xf>
    <xf numFmtId="168" fontId="2" fillId="24" borderId="18" xfId="0" quotePrefix="1" applyNumberFormat="1" applyFont="1" applyFill="1" applyBorder="1" applyAlignment="1" applyProtection="1">
      <alignment horizontal="center"/>
      <protection hidden="1"/>
    </xf>
    <xf numFmtId="167" fontId="2" fillId="24" borderId="46" xfId="0" quotePrefix="1" applyNumberFormat="1" applyFont="1" applyFill="1" applyBorder="1" applyAlignment="1" applyProtection="1">
      <alignment horizontal="center"/>
      <protection hidden="1"/>
    </xf>
    <xf numFmtId="3" fontId="2" fillId="24" borderId="47" xfId="0" applyNumberFormat="1" applyFont="1" applyFill="1" applyBorder="1" applyAlignment="1" applyProtection="1">
      <alignment horizontal="left"/>
      <protection hidden="1"/>
    </xf>
    <xf numFmtId="3" fontId="2" fillId="24" borderId="48" xfId="0" applyNumberFormat="1" applyFont="1" applyFill="1" applyBorder="1" applyAlignment="1" applyProtection="1">
      <alignment horizontal="left"/>
      <protection hidden="1"/>
    </xf>
    <xf numFmtId="0" fontId="1" fillId="0" borderId="41" xfId="44" applyBorder="1" applyAlignment="1">
      <alignment horizontal="left" vertical="center"/>
    </xf>
    <xf numFmtId="0" fontId="29" fillId="0" borderId="23" xfId="0" applyFont="1" applyBorder="1"/>
    <xf numFmtId="3" fontId="1" fillId="0" borderId="100" xfId="45" applyNumberFormat="1" applyBorder="1" applyAlignment="1">
      <alignment horizontal="center" vertical="center"/>
    </xf>
    <xf numFmtId="0" fontId="2" fillId="0" borderId="12" xfId="0" applyFont="1" applyBorder="1" applyAlignment="1">
      <alignment horizontal="center"/>
    </xf>
    <xf numFmtId="0" fontId="2" fillId="0" borderId="13" xfId="0" applyFont="1" applyBorder="1" applyAlignment="1">
      <alignment horizontal="center"/>
    </xf>
    <xf numFmtId="0" fontId="0" fillId="0" borderId="29" xfId="0" applyBorder="1" applyAlignment="1">
      <alignment horizontal="center"/>
    </xf>
    <xf numFmtId="0" fontId="2" fillId="0" borderId="0" xfId="0" applyFont="1" applyAlignment="1">
      <alignment horizontal="center"/>
    </xf>
    <xf numFmtId="0" fontId="0" fillId="0" borderId="103" xfId="0" applyBorder="1" applyAlignment="1">
      <alignment horizontal="center"/>
    </xf>
    <xf numFmtId="0" fontId="0" fillId="0" borderId="102" xfId="0" applyBorder="1" applyAlignment="1">
      <alignment horizontal="center"/>
    </xf>
    <xf numFmtId="0" fontId="0" fillId="0" borderId="55" xfId="0" applyBorder="1" applyAlignment="1">
      <alignment horizontal="center"/>
    </xf>
    <xf numFmtId="0" fontId="0" fillId="0" borderId="101" xfId="0" applyBorder="1" applyAlignment="1">
      <alignment horizontal="center"/>
    </xf>
    <xf numFmtId="0" fontId="0" fillId="0" borderId="34" xfId="0" applyBorder="1" applyAlignment="1">
      <alignment horizontal="center"/>
    </xf>
    <xf numFmtId="0" fontId="0" fillId="0" borderId="52" xfId="0" applyBorder="1" applyAlignment="1">
      <alignment horizontal="center"/>
    </xf>
    <xf numFmtId="0" fontId="0" fillId="0" borderId="97" xfId="0" applyBorder="1" applyAlignment="1">
      <alignment horizontal="center"/>
    </xf>
    <xf numFmtId="0" fontId="0" fillId="37" borderId="96" xfId="0" applyFill="1" applyBorder="1" applyAlignment="1">
      <alignment horizontal="center"/>
    </xf>
    <xf numFmtId="0" fontId="0" fillId="37" borderId="100" xfId="0" applyFill="1" applyBorder="1" applyAlignment="1">
      <alignment horizontal="center"/>
    </xf>
    <xf numFmtId="0" fontId="0" fillId="37" borderId="52" xfId="0" applyFill="1" applyBorder="1" applyAlignment="1">
      <alignment horizontal="center"/>
    </xf>
    <xf numFmtId="0" fontId="0" fillId="37" borderId="97" xfId="0" applyFill="1" applyBorder="1" applyAlignment="1">
      <alignment horizontal="center"/>
    </xf>
    <xf numFmtId="0" fontId="0" fillId="37" borderId="29" xfId="0" applyFill="1" applyBorder="1" applyAlignment="1">
      <alignment horizontal="center"/>
    </xf>
    <xf numFmtId="0" fontId="0" fillId="0" borderId="96" xfId="0" applyBorder="1" applyAlignment="1">
      <alignment horizontal="center"/>
    </xf>
    <xf numFmtId="0" fontId="0" fillId="0" borderId="100" xfId="0" applyBorder="1" applyAlignment="1">
      <alignment horizontal="center"/>
    </xf>
    <xf numFmtId="0" fontId="0" fillId="0" borderId="100" xfId="0" applyBorder="1" applyAlignment="1">
      <alignment horizontal="center" vertical="center"/>
    </xf>
    <xf numFmtId="0" fontId="0" fillId="0" borderId="52" xfId="0" applyBorder="1" applyAlignment="1">
      <alignment horizontal="center" vertical="center"/>
    </xf>
    <xf numFmtId="0" fontId="0" fillId="0" borderId="97" xfId="0" applyBorder="1" applyAlignment="1">
      <alignment horizontal="center" vertical="center"/>
    </xf>
    <xf numFmtId="0" fontId="1" fillId="0" borderId="97" xfId="0" applyFont="1" applyBorder="1" applyAlignment="1">
      <alignment horizontal="center"/>
    </xf>
    <xf numFmtId="0" fontId="31" fillId="0" borderId="28" xfId="0" applyFont="1" applyBorder="1" applyAlignment="1">
      <alignment horizontal="center"/>
    </xf>
    <xf numFmtId="0" fontId="31" fillId="0" borderId="102" xfId="0" applyFont="1" applyBorder="1" applyAlignment="1">
      <alignment horizontal="center"/>
    </xf>
    <xf numFmtId="0" fontId="1" fillId="26" borderId="101" xfId="0" applyFont="1" applyFill="1" applyBorder="1" applyAlignment="1">
      <alignment horizontal="left" vertical="center"/>
    </xf>
    <xf numFmtId="0" fontId="29" fillId="38" borderId="103" xfId="0" applyFont="1" applyFill="1" applyBorder="1" applyAlignment="1">
      <alignment horizontal="center"/>
    </xf>
    <xf numFmtId="0" fontId="29" fillId="38" borderId="102" xfId="0" applyFont="1" applyFill="1" applyBorder="1" applyAlignment="1">
      <alignment horizontal="center"/>
    </xf>
    <xf numFmtId="1" fontId="0" fillId="0" borderId="103" xfId="0" applyNumberFormat="1" applyBorder="1" applyAlignment="1">
      <alignment horizontal="center"/>
    </xf>
    <xf numFmtId="1" fontId="0" fillId="0" borderId="101" xfId="0" applyNumberFormat="1" applyBorder="1" applyAlignment="1">
      <alignment horizontal="center"/>
    </xf>
    <xf numFmtId="0" fontId="31" fillId="0" borderId="96" xfId="0" applyFont="1" applyBorder="1" applyAlignment="1">
      <alignment horizontal="center"/>
    </xf>
    <xf numFmtId="0" fontId="31" fillId="0" borderId="100" xfId="0" applyFont="1" applyBorder="1" applyAlignment="1">
      <alignment horizontal="center"/>
    </xf>
    <xf numFmtId="0" fontId="1" fillId="26" borderId="97" xfId="0" applyFont="1" applyFill="1" applyBorder="1" applyAlignment="1">
      <alignment horizontal="left" vertical="center"/>
    </xf>
    <xf numFmtId="0" fontId="29" fillId="38" borderId="96" xfId="0" applyFont="1" applyFill="1" applyBorder="1" applyAlignment="1">
      <alignment horizontal="center"/>
    </xf>
    <xf numFmtId="0" fontId="29" fillId="38" borderId="100" xfId="0" applyFont="1" applyFill="1" applyBorder="1" applyAlignment="1">
      <alignment horizontal="center"/>
    </xf>
    <xf numFmtId="1" fontId="0" fillId="0" borderId="96" xfId="0" applyNumberFormat="1" applyBorder="1" applyAlignment="1">
      <alignment horizontal="center"/>
    </xf>
    <xf numFmtId="1" fontId="0" fillId="0" borderId="97" xfId="0" applyNumberFormat="1" applyBorder="1" applyAlignment="1">
      <alignment horizontal="center"/>
    </xf>
    <xf numFmtId="1" fontId="0" fillId="0" borderId="100" xfId="0" applyNumberFormat="1" applyBorder="1" applyAlignment="1">
      <alignment horizontal="center" vertical="center"/>
    </xf>
    <xf numFmtId="0" fontId="1" fillId="0" borderId="94" xfId="0" applyFont="1" applyBorder="1" applyAlignment="1">
      <alignment horizontal="center"/>
    </xf>
    <xf numFmtId="0" fontId="0" fillId="36" borderId="57" xfId="0" applyFill="1" applyBorder="1"/>
    <xf numFmtId="0" fontId="0" fillId="36" borderId="58" xfId="0" applyFill="1" applyBorder="1"/>
    <xf numFmtId="0" fontId="0" fillId="36" borderId="75" xfId="0" applyFill="1" applyBorder="1"/>
    <xf numFmtId="0" fontId="0" fillId="36" borderId="59" xfId="0" applyFill="1" applyBorder="1"/>
    <xf numFmtId="0" fontId="0" fillId="36" borderId="0" xfId="0" applyFill="1"/>
    <xf numFmtId="166" fontId="0" fillId="36" borderId="0" xfId="0" applyNumberFormat="1" applyFill="1"/>
    <xf numFmtId="0" fontId="0" fillId="36" borderId="60" xfId="0" applyFill="1" applyBorder="1"/>
    <xf numFmtId="166" fontId="2" fillId="25" borderId="103" xfId="0" applyNumberFormat="1" applyFont="1" applyFill="1" applyBorder="1" applyAlignment="1" applyProtection="1">
      <alignment horizontal="center"/>
      <protection hidden="1"/>
    </xf>
    <xf numFmtId="166" fontId="2" fillId="25" borderId="101" xfId="0" applyNumberFormat="1" applyFont="1" applyFill="1" applyBorder="1" applyAlignment="1" applyProtection="1">
      <alignment horizontal="center"/>
      <protection hidden="1"/>
    </xf>
    <xf numFmtId="0" fontId="2" fillId="0" borderId="105" xfId="0" applyFont="1" applyBorder="1" applyAlignment="1">
      <alignment horizontal="left" vertical="center"/>
    </xf>
    <xf numFmtId="166" fontId="2" fillId="25" borderId="96" xfId="0" applyNumberFormat="1" applyFont="1" applyFill="1" applyBorder="1" applyAlignment="1" applyProtection="1">
      <alignment horizontal="center"/>
      <protection hidden="1"/>
    </xf>
    <xf numFmtId="166" fontId="2" fillId="25" borderId="97" xfId="0" applyNumberFormat="1" applyFont="1" applyFill="1" applyBorder="1" applyAlignment="1" applyProtection="1">
      <alignment horizontal="center"/>
      <protection hidden="1"/>
    </xf>
    <xf numFmtId="0" fontId="2" fillId="34" borderId="106" xfId="0" applyFont="1" applyFill="1" applyBorder="1" applyAlignment="1">
      <alignment horizontal="left" vertical="center"/>
    </xf>
    <xf numFmtId="0" fontId="2" fillId="0" borderId="106" xfId="0" applyFont="1" applyBorder="1" applyAlignment="1">
      <alignment horizontal="left" vertical="center"/>
    </xf>
    <xf numFmtId="0" fontId="2" fillId="25" borderId="96" xfId="0" applyFont="1" applyFill="1" applyBorder="1" applyAlignment="1">
      <alignment horizontal="center" wrapText="1"/>
    </xf>
    <xf numFmtId="0" fontId="2" fillId="25" borderId="97" xfId="0" applyFont="1" applyFill="1" applyBorder="1" applyAlignment="1">
      <alignment horizontal="center" wrapText="1"/>
    </xf>
    <xf numFmtId="0" fontId="2" fillId="36" borderId="0" xfId="0" applyFont="1" applyFill="1"/>
    <xf numFmtId="1" fontId="2" fillId="30" borderId="108" xfId="0" applyNumberFormat="1" applyFont="1" applyFill="1" applyBorder="1" applyAlignment="1" applyProtection="1">
      <alignment horizontal="center"/>
      <protection hidden="1"/>
    </xf>
    <xf numFmtId="1" fontId="2" fillId="30" borderId="101" xfId="0" applyNumberFormat="1" applyFont="1" applyFill="1" applyBorder="1" applyAlignment="1" applyProtection="1">
      <alignment horizontal="center"/>
      <protection hidden="1"/>
    </xf>
    <xf numFmtId="1" fontId="2" fillId="30" borderId="34" xfId="0" applyNumberFormat="1" applyFont="1" applyFill="1" applyBorder="1" applyAlignment="1" applyProtection="1">
      <alignment horizontal="center"/>
      <protection hidden="1"/>
    </xf>
    <xf numFmtId="166" fontId="2" fillId="25" borderId="109" xfId="0" applyNumberFormat="1" applyFont="1" applyFill="1" applyBorder="1" applyAlignment="1" applyProtection="1">
      <alignment horizontal="center"/>
      <protection hidden="1"/>
    </xf>
    <xf numFmtId="0" fontId="2" fillId="0" borderId="63" xfId="0" applyFont="1" applyBorder="1" applyAlignment="1">
      <alignment horizontal="left" vertical="center"/>
    </xf>
    <xf numFmtId="1" fontId="2" fillId="30" borderId="64" xfId="0" applyNumberFormat="1" applyFont="1" applyFill="1" applyBorder="1" applyAlignment="1" applyProtection="1">
      <alignment horizontal="center"/>
      <protection hidden="1"/>
    </xf>
    <xf numFmtId="1" fontId="2" fillId="30" borderId="97" xfId="0" applyNumberFormat="1" applyFont="1" applyFill="1" applyBorder="1" applyAlignment="1" applyProtection="1">
      <alignment horizontal="center"/>
      <protection hidden="1"/>
    </xf>
    <xf numFmtId="1" fontId="2" fillId="30" borderId="29" xfId="0" applyNumberFormat="1" applyFont="1" applyFill="1" applyBorder="1" applyAlignment="1" applyProtection="1">
      <alignment horizontal="center"/>
      <protection hidden="1"/>
    </xf>
    <xf numFmtId="0" fontId="2" fillId="34" borderId="110" xfId="0" applyFont="1" applyFill="1" applyBorder="1" applyAlignment="1">
      <alignment horizontal="center"/>
    </xf>
    <xf numFmtId="0" fontId="2" fillId="34" borderId="26" xfId="0" applyFont="1" applyFill="1" applyBorder="1" applyAlignment="1">
      <alignment horizontal="center"/>
    </xf>
    <xf numFmtId="0" fontId="2" fillId="34" borderId="111" xfId="0" applyFont="1" applyFill="1" applyBorder="1" applyAlignment="1">
      <alignment horizontal="left" vertical="center"/>
    </xf>
    <xf numFmtId="0" fontId="2" fillId="0" borderId="100" xfId="0" applyFont="1" applyBorder="1" applyAlignment="1">
      <alignment horizontal="center"/>
    </xf>
    <xf numFmtId="0" fontId="2" fillId="0" borderId="65" xfId="0" applyFont="1" applyBorder="1" applyAlignment="1">
      <alignment horizontal="left" vertical="center"/>
    </xf>
    <xf numFmtId="0" fontId="2" fillId="30" borderId="64" xfId="0" applyFont="1" applyFill="1" applyBorder="1" applyAlignment="1">
      <alignment horizontal="center"/>
    </xf>
    <xf numFmtId="0" fontId="2" fillId="30" borderId="97" xfId="0" applyFont="1" applyFill="1" applyBorder="1" applyAlignment="1">
      <alignment horizontal="center"/>
    </xf>
    <xf numFmtId="0" fontId="2" fillId="30" borderId="29" xfId="0" applyFont="1" applyFill="1" applyBorder="1" applyAlignment="1">
      <alignment horizontal="center"/>
    </xf>
    <xf numFmtId="166" fontId="2" fillId="25" borderId="52" xfId="0" applyNumberFormat="1" applyFont="1" applyFill="1" applyBorder="1" applyAlignment="1" applyProtection="1">
      <alignment horizontal="center"/>
      <protection hidden="1"/>
    </xf>
    <xf numFmtId="0" fontId="2" fillId="0" borderId="97" xfId="0" applyFont="1" applyBorder="1" applyAlignment="1">
      <alignment horizontal="center"/>
    </xf>
    <xf numFmtId="0" fontId="2" fillId="0" borderId="29" xfId="0" applyFont="1" applyBorder="1" applyAlignment="1">
      <alignment horizontal="center"/>
    </xf>
    <xf numFmtId="0" fontId="2" fillId="0" borderId="96" xfId="0" applyFont="1" applyBorder="1" applyAlignment="1">
      <alignment horizontal="center"/>
    </xf>
    <xf numFmtId="0" fontId="2" fillId="0" borderId="52" xfId="0" applyFont="1" applyBorder="1" applyAlignment="1">
      <alignment horizontal="center"/>
    </xf>
    <xf numFmtId="0" fontId="2" fillId="36" borderId="60" xfId="0" applyFont="1" applyFill="1" applyBorder="1"/>
    <xf numFmtId="0" fontId="2" fillId="36" borderId="0" xfId="0" applyFont="1" applyFill="1" applyAlignment="1">
      <alignment horizontal="center"/>
    </xf>
    <xf numFmtId="0" fontId="2" fillId="0" borderId="0" xfId="0" applyFont="1" applyAlignment="1">
      <alignment horizontal="center"/>
    </xf>
    <xf numFmtId="0" fontId="2" fillId="25" borderId="100" xfId="0" applyFont="1" applyFill="1" applyBorder="1" applyAlignment="1">
      <alignment horizontal="center"/>
    </xf>
    <xf numFmtId="0" fontId="2" fillId="24" borderId="100" xfId="0" applyFont="1" applyFill="1" applyBorder="1" applyAlignment="1">
      <alignment horizontal="center"/>
    </xf>
    <xf numFmtId="0" fontId="2" fillId="30" borderId="96" xfId="0" applyFont="1" applyFill="1" applyBorder="1" applyAlignment="1">
      <alignment horizontal="center"/>
    </xf>
    <xf numFmtId="0" fontId="2" fillId="26" borderId="97" xfId="0" applyFont="1" applyFill="1" applyBorder="1" applyAlignment="1">
      <alignment horizontal="left" vertical="center"/>
    </xf>
    <xf numFmtId="0" fontId="2" fillId="26" borderId="100" xfId="0" applyFont="1" applyFill="1" applyBorder="1" applyAlignment="1">
      <alignment horizontal="center"/>
    </xf>
    <xf numFmtId="166" fontId="2" fillId="25" borderId="100" xfId="0" applyNumberFormat="1" applyFont="1" applyFill="1" applyBorder="1" applyAlignment="1" applyProtection="1">
      <alignment horizontal="center"/>
      <protection hidden="1"/>
    </xf>
    <xf numFmtId="166" fontId="2" fillId="24" borderId="100" xfId="0" applyNumberFormat="1" applyFont="1" applyFill="1" applyBorder="1" applyAlignment="1" applyProtection="1">
      <alignment horizontal="center"/>
      <protection hidden="1"/>
    </xf>
    <xf numFmtId="166" fontId="2" fillId="30" borderId="96" xfId="0" applyNumberFormat="1" applyFont="1" applyFill="1" applyBorder="1" applyAlignment="1" applyProtection="1">
      <alignment horizontal="center"/>
      <protection hidden="1"/>
    </xf>
    <xf numFmtId="0" fontId="2" fillId="0" borderId="97" xfId="0" applyFont="1" applyBorder="1" applyAlignment="1">
      <alignment horizontal="left" vertical="center"/>
    </xf>
    <xf numFmtId="166" fontId="29" fillId="24" borderId="100" xfId="0" applyNumberFormat="1" applyFont="1" applyFill="1" applyBorder="1" applyAlignment="1" applyProtection="1">
      <alignment horizontal="center"/>
      <protection hidden="1"/>
    </xf>
    <xf numFmtId="0" fontId="2" fillId="31" borderId="97" xfId="0" applyFont="1" applyFill="1" applyBorder="1" applyAlignment="1">
      <alignment horizontal="left" vertical="center"/>
    </xf>
    <xf numFmtId="0" fontId="2" fillId="31" borderId="100" xfId="0" applyFont="1" applyFill="1" applyBorder="1" applyAlignment="1">
      <alignment horizontal="center"/>
    </xf>
    <xf numFmtId="0" fontId="2" fillId="0" borderId="101" xfId="0" applyFont="1" applyBorder="1" applyAlignment="1">
      <alignment horizontal="left" vertical="center"/>
    </xf>
    <xf numFmtId="0" fontId="2" fillId="0" borderId="102" xfId="0" applyFont="1" applyBorder="1" applyAlignment="1">
      <alignment horizontal="center"/>
    </xf>
    <xf numFmtId="166" fontId="2" fillId="25" borderId="102" xfId="0" applyNumberFormat="1" applyFont="1" applyFill="1" applyBorder="1" applyAlignment="1" applyProtection="1">
      <alignment horizontal="center"/>
      <protection hidden="1"/>
    </xf>
    <xf numFmtId="166" fontId="2" fillId="24" borderId="102" xfId="0" applyNumberFormat="1" applyFont="1" applyFill="1" applyBorder="1" applyAlignment="1" applyProtection="1">
      <alignment horizontal="center"/>
      <protection hidden="1"/>
    </xf>
    <xf numFmtId="166" fontId="2" fillId="30" borderId="103" xfId="0" applyNumberFormat="1" applyFont="1" applyFill="1" applyBorder="1" applyAlignment="1" applyProtection="1">
      <alignment horizontal="center"/>
      <protection hidden="1"/>
    </xf>
    <xf numFmtId="0" fontId="0" fillId="0" borderId="104" xfId="0" applyBorder="1"/>
    <xf numFmtId="0" fontId="0" fillId="0" borderId="97" xfId="0" applyBorder="1" applyAlignment="1">
      <alignment horizontal="left" vertical="center"/>
    </xf>
    <xf numFmtId="1" fontId="28" fillId="0" borderId="100" xfId="0" applyNumberFormat="1" applyFont="1" applyBorder="1" applyAlignment="1">
      <alignment horizontal="center" vertical="center"/>
    </xf>
    <xf numFmtId="1" fontId="28" fillId="0" borderId="100" xfId="0" applyNumberFormat="1" applyFont="1" applyBorder="1" applyAlignment="1">
      <alignment horizontal="center"/>
    </xf>
    <xf numFmtId="0" fontId="0" fillId="0" borderId="101" xfId="0" applyBorder="1" applyAlignment="1">
      <alignment horizontal="left" vertical="center"/>
    </xf>
    <xf numFmtId="1" fontId="28" fillId="0" borderId="102" xfId="0" applyNumberFormat="1" applyFont="1" applyBorder="1" applyAlignment="1">
      <alignment horizontal="center"/>
    </xf>
    <xf numFmtId="0" fontId="2" fillId="0" borderId="97" xfId="44" applyFont="1" applyBorder="1" applyAlignment="1">
      <alignment horizontal="left" vertical="center"/>
    </xf>
    <xf numFmtId="166" fontId="2" fillId="25" borderId="100" xfId="44" applyNumberFormat="1" applyFont="1" applyFill="1" applyBorder="1" applyAlignment="1" applyProtection="1">
      <alignment horizontal="center"/>
      <protection hidden="1"/>
    </xf>
    <xf numFmtId="1" fontId="2" fillId="30" borderId="96" xfId="44" applyNumberFormat="1" applyFont="1" applyFill="1" applyBorder="1" applyAlignment="1" applyProtection="1">
      <alignment horizontal="center"/>
      <protection hidden="1"/>
    </xf>
    <xf numFmtId="0" fontId="2" fillId="31" borderId="97" xfId="44" applyFont="1" applyFill="1" applyBorder="1" applyAlignment="1">
      <alignment horizontal="left" vertical="center"/>
    </xf>
    <xf numFmtId="0" fontId="2" fillId="26" borderId="100" xfId="44" applyFont="1" applyFill="1" applyBorder="1" applyAlignment="1">
      <alignment horizontal="center"/>
    </xf>
    <xf numFmtId="0" fontId="2" fillId="0" borderId="100" xfId="44" applyFont="1" applyBorder="1" applyAlignment="1">
      <alignment horizontal="center"/>
    </xf>
    <xf numFmtId="0" fontId="2" fillId="0" borderId="101" xfId="44" applyFont="1" applyBorder="1" applyAlignment="1">
      <alignment horizontal="left" vertical="center"/>
    </xf>
    <xf numFmtId="0" fontId="2" fillId="0" borderId="102" xfId="44" applyFont="1" applyBorder="1" applyAlignment="1">
      <alignment horizontal="center"/>
    </xf>
    <xf numFmtId="166" fontId="2" fillId="25" borderId="102" xfId="44" applyNumberFormat="1" applyFont="1" applyFill="1" applyBorder="1" applyAlignment="1" applyProtection="1">
      <alignment horizontal="center"/>
      <protection hidden="1"/>
    </xf>
    <xf numFmtId="1" fontId="2" fillId="30" borderId="103" xfId="44" applyNumberFormat="1" applyFont="1" applyFill="1" applyBorder="1" applyAlignment="1" applyProtection="1">
      <alignment horizontal="center"/>
      <protection hidden="1"/>
    </xf>
    <xf numFmtId="0" fontId="1" fillId="0" borderId="104" xfId="44" applyBorder="1"/>
    <xf numFmtId="0" fontId="1" fillId="0" borderId="100" xfId="44" applyBorder="1" applyAlignment="1">
      <alignment horizontal="center"/>
    </xf>
    <xf numFmtId="2" fontId="1" fillId="0" borderId="100" xfId="45" applyNumberFormat="1" applyBorder="1" applyAlignment="1">
      <alignment horizontal="center" vertical="center"/>
    </xf>
    <xf numFmtId="2" fontId="1" fillId="0" borderId="100" xfId="44" applyNumberFormat="1" applyBorder="1" applyAlignment="1">
      <alignment horizontal="center" vertical="center"/>
    </xf>
    <xf numFmtId="0" fontId="1" fillId="0" borderId="97" xfId="44" applyBorder="1" applyAlignment="1">
      <alignment horizontal="left" vertical="center"/>
    </xf>
    <xf numFmtId="0" fontId="1" fillId="26" borderId="97" xfId="44" applyFill="1" applyBorder="1" applyAlignment="1">
      <alignment horizontal="left" vertical="center"/>
    </xf>
    <xf numFmtId="0" fontId="29" fillId="0" borderId="97" xfId="0" applyFont="1" applyBorder="1" applyAlignment="1">
      <alignment horizontal="left" vertical="center"/>
    </xf>
    <xf numFmtId="1" fontId="2" fillId="30" borderId="96" xfId="0" applyNumberFormat="1" applyFont="1" applyFill="1" applyBorder="1" applyAlignment="1" applyProtection="1">
      <alignment horizontal="center"/>
      <protection hidden="1"/>
    </xf>
    <xf numFmtId="0" fontId="2" fillId="31" borderId="101" xfId="0" applyFont="1" applyFill="1" applyBorder="1" applyAlignment="1">
      <alignment horizontal="left" vertical="center"/>
    </xf>
    <xf numFmtId="0" fontId="2" fillId="31" borderId="102" xfId="0" applyFont="1" applyFill="1" applyBorder="1" applyAlignment="1">
      <alignment horizontal="center"/>
    </xf>
    <xf numFmtId="1" fontId="2" fillId="30" borderId="103" xfId="0" applyNumberFormat="1" applyFont="1" applyFill="1" applyBorder="1" applyAlignment="1" applyProtection="1">
      <alignment horizontal="center"/>
      <protection hidden="1"/>
    </xf>
    <xf numFmtId="3" fontId="1" fillId="0" borderId="100" xfId="45" applyNumberFormat="1" applyFill="1" applyBorder="1" applyAlignment="1">
      <alignment horizontal="center" vertical="center"/>
    </xf>
    <xf numFmtId="3" fontId="1" fillId="0" borderId="102" xfId="45" applyNumberFormat="1" applyFill="1" applyBorder="1" applyAlignment="1">
      <alignment horizontal="center" vertical="center"/>
    </xf>
    <xf numFmtId="1" fontId="0" fillId="0" borderId="102" xfId="0" applyNumberFormat="1" applyBorder="1" applyAlignment="1">
      <alignment horizontal="center" vertical="center"/>
    </xf>
    <xf numFmtId="0" fontId="4" fillId="27" borderId="19" xfId="0" applyFont="1" applyFill="1" applyBorder="1" applyAlignment="1">
      <alignment horizontal="center"/>
    </xf>
    <xf numFmtId="0" fontId="4" fillId="27" borderId="20" xfId="0" applyFont="1" applyFill="1" applyBorder="1" applyAlignment="1">
      <alignment horizontal="center"/>
    </xf>
    <xf numFmtId="0" fontId="4" fillId="27" borderId="21" xfId="0" applyFont="1" applyFill="1" applyBorder="1" applyAlignment="1">
      <alignment horizontal="center"/>
    </xf>
    <xf numFmtId="0" fontId="4" fillId="27" borderId="51" xfId="0" applyFont="1" applyFill="1" applyBorder="1" applyAlignment="1">
      <alignment horizontal="center"/>
    </xf>
    <xf numFmtId="0" fontId="4" fillId="27" borderId="104" xfId="0" applyFont="1" applyFill="1" applyBorder="1" applyAlignment="1">
      <alignment horizontal="center"/>
    </xf>
    <xf numFmtId="0" fontId="4" fillId="27" borderId="25" xfId="0" applyFont="1" applyFill="1" applyBorder="1" applyAlignment="1">
      <alignment horizontal="center"/>
    </xf>
    <xf numFmtId="0" fontId="2" fillId="0" borderId="11" xfId="0" applyFont="1" applyBorder="1" applyAlignment="1">
      <alignment horizontal="center"/>
    </xf>
    <xf numFmtId="0" fontId="2" fillId="0" borderId="97" xfId="0" applyFont="1" applyBorder="1" applyAlignment="1">
      <alignment horizontal="center"/>
    </xf>
    <xf numFmtId="0" fontId="2" fillId="0" borderId="12" xfId="0" applyFont="1" applyBorder="1" applyAlignment="1">
      <alignment horizontal="center"/>
    </xf>
    <xf numFmtId="0" fontId="2" fillId="0" borderId="13" xfId="0" applyFont="1" applyBorder="1" applyAlignment="1">
      <alignment horizontal="center"/>
    </xf>
    <xf numFmtId="0" fontId="2" fillId="0" borderId="11" xfId="44" applyFont="1" applyBorder="1" applyAlignment="1">
      <alignment horizontal="center"/>
    </xf>
    <xf numFmtId="0" fontId="2" fillId="0" borderId="97" xfId="44" applyFont="1" applyBorder="1" applyAlignment="1">
      <alignment horizontal="center"/>
    </xf>
    <xf numFmtId="0" fontId="4" fillId="27" borderId="24" xfId="0" applyFont="1" applyFill="1" applyBorder="1" applyAlignment="1">
      <alignment horizontal="center"/>
    </xf>
    <xf numFmtId="0" fontId="2" fillId="0" borderId="14" xfId="44" applyFont="1" applyBorder="1" applyAlignment="1">
      <alignment horizontal="center"/>
    </xf>
    <xf numFmtId="0" fontId="23" fillId="25" borderId="10" xfId="0" applyFont="1" applyFill="1" applyBorder="1" applyAlignment="1">
      <alignment horizontal="center"/>
    </xf>
    <xf numFmtId="0" fontId="23" fillId="25" borderId="64" xfId="0" applyFont="1" applyFill="1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29" xfId="0" applyBorder="1" applyAlignment="1">
      <alignment horizontal="center"/>
    </xf>
    <xf numFmtId="0" fontId="0" fillId="0" borderId="32" xfId="0" applyBorder="1" applyAlignment="1">
      <alignment horizontal="center"/>
    </xf>
    <xf numFmtId="0" fontId="2" fillId="0" borderId="68" xfId="0" applyFont="1" applyBorder="1" applyAlignment="1">
      <alignment horizontal="center"/>
    </xf>
    <xf numFmtId="0" fontId="2" fillId="0" borderId="67" xfId="0" applyFont="1" applyBorder="1" applyAlignment="1">
      <alignment horizontal="center"/>
    </xf>
    <xf numFmtId="0" fontId="2" fillId="0" borderId="66" xfId="0" applyFont="1" applyBorder="1" applyAlignment="1">
      <alignment horizontal="center"/>
    </xf>
    <xf numFmtId="0" fontId="0" fillId="0" borderId="35" xfId="0" applyBorder="1" applyAlignment="1">
      <alignment horizontal="center"/>
    </xf>
    <xf numFmtId="0" fontId="0" fillId="0" borderId="74" xfId="0" applyBorder="1" applyAlignment="1">
      <alignment horizontal="center"/>
    </xf>
    <xf numFmtId="0" fontId="0" fillId="0" borderId="73" xfId="0" applyBorder="1" applyAlignment="1">
      <alignment horizontal="center"/>
    </xf>
    <xf numFmtId="0" fontId="0" fillId="0" borderId="72" xfId="0" applyBorder="1" applyAlignment="1">
      <alignment horizontal="center"/>
    </xf>
    <xf numFmtId="0" fontId="2" fillId="0" borderId="71" xfId="0" applyFont="1" applyBorder="1" applyAlignment="1">
      <alignment horizontal="center"/>
    </xf>
    <xf numFmtId="0" fontId="2" fillId="0" borderId="70" xfId="0" applyFont="1" applyBorder="1" applyAlignment="1">
      <alignment horizontal="center"/>
    </xf>
    <xf numFmtId="0" fontId="2" fillId="0" borderId="32" xfId="0" applyFont="1" applyBorder="1" applyAlignment="1">
      <alignment horizontal="center"/>
    </xf>
    <xf numFmtId="0" fontId="2" fillId="0" borderId="36" xfId="0" applyFont="1" applyBorder="1" applyAlignment="1">
      <alignment horizontal="center"/>
    </xf>
    <xf numFmtId="0" fontId="2" fillId="0" borderId="69" xfId="0" applyFont="1" applyBorder="1" applyAlignment="1">
      <alignment horizontal="center"/>
    </xf>
    <xf numFmtId="0" fontId="2" fillId="0" borderId="54" xfId="0" applyFont="1" applyBorder="1" applyAlignment="1">
      <alignment horizontal="center"/>
    </xf>
    <xf numFmtId="0" fontId="2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59" xfId="0" applyFont="1" applyBorder="1" applyAlignment="1">
      <alignment horizontal="center"/>
    </xf>
    <xf numFmtId="0" fontId="2" fillId="0" borderId="74" xfId="0" applyFont="1" applyBorder="1" applyAlignment="1">
      <alignment horizontal="center"/>
    </xf>
    <xf numFmtId="0" fontId="2" fillId="0" borderId="72" xfId="0" applyFont="1" applyBorder="1" applyAlignment="1">
      <alignment horizontal="center"/>
    </xf>
    <xf numFmtId="0" fontId="2" fillId="33" borderId="75" xfId="0" applyFont="1" applyFill="1" applyBorder="1" applyAlignment="1">
      <alignment horizontal="center"/>
    </xf>
    <xf numFmtId="0" fontId="2" fillId="33" borderId="57" xfId="0" applyFont="1" applyFill="1" applyBorder="1" applyAlignment="1">
      <alignment horizontal="center"/>
    </xf>
    <xf numFmtId="0" fontId="2" fillId="27" borderId="75" xfId="0" applyFont="1" applyFill="1" applyBorder="1" applyAlignment="1">
      <alignment horizontal="center"/>
    </xf>
    <xf numFmtId="0" fontId="2" fillId="27" borderId="58" xfId="0" applyFont="1" applyFill="1" applyBorder="1" applyAlignment="1">
      <alignment horizontal="center"/>
    </xf>
    <xf numFmtId="0" fontId="2" fillId="27" borderId="57" xfId="0" applyFont="1" applyFill="1" applyBorder="1" applyAlignment="1">
      <alignment horizontal="center"/>
    </xf>
    <xf numFmtId="0" fontId="2" fillId="23" borderId="75" xfId="0" applyFont="1" applyFill="1" applyBorder="1" applyAlignment="1">
      <alignment horizontal="center"/>
    </xf>
    <xf numFmtId="0" fontId="2" fillId="23" borderId="58" xfId="0" applyFont="1" applyFill="1" applyBorder="1" applyAlignment="1">
      <alignment horizontal="center"/>
    </xf>
    <xf numFmtId="0" fontId="2" fillId="23" borderId="57" xfId="0" applyFont="1" applyFill="1" applyBorder="1" applyAlignment="1">
      <alignment horizontal="center"/>
    </xf>
    <xf numFmtId="0" fontId="2" fillId="0" borderId="59" xfId="0" applyFont="1" applyBorder="1" applyAlignment="1">
      <alignment horizontal="center"/>
    </xf>
    <xf numFmtId="0" fontId="4" fillId="27" borderId="23" xfId="0" applyFont="1" applyFill="1" applyBorder="1" applyAlignment="1">
      <alignment horizontal="center"/>
    </xf>
    <xf numFmtId="0" fontId="4" fillId="27" borderId="0" xfId="0" applyFont="1" applyFill="1" applyAlignment="1">
      <alignment horizontal="center"/>
    </xf>
    <xf numFmtId="0" fontId="4" fillId="27" borderId="22" xfId="0" applyFont="1" applyFill="1" applyBorder="1" applyAlignment="1">
      <alignment horizontal="center"/>
    </xf>
    <xf numFmtId="1" fontId="2" fillId="0" borderId="33" xfId="0" quotePrefix="1" applyNumberFormat="1" applyFont="1" applyBorder="1" applyAlignment="1">
      <alignment horizontal="center"/>
    </xf>
    <xf numFmtId="1" fontId="2" fillId="0" borderId="31" xfId="0" quotePrefix="1" applyNumberFormat="1" applyFont="1" applyBorder="1" applyAlignment="1">
      <alignment horizontal="center"/>
    </xf>
    <xf numFmtId="1" fontId="2" fillId="0" borderId="46" xfId="0" quotePrefix="1" applyNumberFormat="1" applyFont="1" applyBorder="1" applyAlignment="1">
      <alignment horizontal="center"/>
    </xf>
    <xf numFmtId="0" fontId="0" fillId="0" borderId="0" xfId="0" applyAlignment="1">
      <alignment horizontal="center"/>
    </xf>
    <xf numFmtId="0" fontId="4" fillId="27" borderId="47" xfId="0" applyFont="1" applyFill="1" applyBorder="1" applyAlignment="1">
      <alignment horizontal="center"/>
    </xf>
    <xf numFmtId="0" fontId="4" fillId="27" borderId="50" xfId="0" applyFont="1" applyFill="1" applyBorder="1" applyAlignment="1">
      <alignment horizontal="center"/>
    </xf>
    <xf numFmtId="0" fontId="4" fillId="27" borderId="48" xfId="0" applyFont="1" applyFill="1" applyBorder="1" applyAlignment="1">
      <alignment horizontal="center"/>
    </xf>
    <xf numFmtId="0" fontId="2" fillId="0" borderId="10" xfId="0" applyFont="1" applyBorder="1" applyAlignment="1">
      <alignment horizontal="center"/>
    </xf>
    <xf numFmtId="0" fontId="1" fillId="0" borderId="11" xfId="0" applyFont="1" applyBorder="1" applyAlignment="1">
      <alignment horizontal="center"/>
    </xf>
    <xf numFmtId="0" fontId="0" fillId="0" borderId="12" xfId="0" applyBorder="1" applyAlignment="1">
      <alignment horizontal="center"/>
    </xf>
    <xf numFmtId="0" fontId="0" fillId="0" borderId="89" xfId="0" applyBorder="1" applyAlignment="1">
      <alignment horizontal="center"/>
    </xf>
    <xf numFmtId="0" fontId="0" fillId="0" borderId="13" xfId="0" applyBorder="1" applyAlignment="1">
      <alignment horizontal="center"/>
    </xf>
    <xf numFmtId="0" fontId="1" fillId="0" borderId="53" xfId="0" applyFont="1" applyBorder="1" applyAlignment="1">
      <alignment horizontal="center"/>
    </xf>
    <xf numFmtId="0" fontId="0" fillId="0" borderId="97" xfId="0" applyBorder="1" applyAlignment="1">
      <alignment horizontal="center" vertical="center"/>
    </xf>
    <xf numFmtId="0" fontId="0" fillId="0" borderId="100" xfId="0" applyBorder="1" applyAlignment="1">
      <alignment horizontal="center" vertical="center"/>
    </xf>
    <xf numFmtId="0" fontId="0" fillId="0" borderId="100" xfId="0" applyBorder="1" applyAlignment="1">
      <alignment horizontal="center"/>
    </xf>
    <xf numFmtId="0" fontId="0" fillId="0" borderId="96" xfId="0" applyBorder="1" applyAlignment="1">
      <alignment horizontal="center"/>
    </xf>
    <xf numFmtId="0" fontId="0" fillId="0" borderId="52" xfId="0" applyBorder="1" applyAlignment="1">
      <alignment horizontal="center" vertical="center"/>
    </xf>
    <xf numFmtId="0" fontId="0" fillId="0" borderId="91" xfId="0" applyBorder="1" applyAlignment="1">
      <alignment horizontal="center"/>
    </xf>
    <xf numFmtId="0" fontId="0" fillId="0" borderId="92" xfId="0" applyBorder="1" applyAlignment="1">
      <alignment horizontal="center"/>
    </xf>
    <xf numFmtId="0" fontId="0" fillId="0" borderId="93" xfId="0" applyBorder="1" applyAlignment="1">
      <alignment horizontal="center"/>
    </xf>
    <xf numFmtId="0" fontId="0" fillId="0" borderId="40" xfId="0" applyBorder="1" applyAlignment="1">
      <alignment horizontal="center" vertical="center"/>
    </xf>
    <xf numFmtId="0" fontId="0" fillId="0" borderId="30" xfId="0" applyBorder="1" applyAlignment="1">
      <alignment horizontal="center" vertical="center"/>
    </xf>
    <xf numFmtId="0" fontId="0" fillId="0" borderId="11" xfId="0" applyBorder="1" applyAlignment="1">
      <alignment horizontal="center"/>
    </xf>
    <xf numFmtId="0" fontId="0" fillId="37" borderId="90" xfId="0" applyFill="1" applyBorder="1" applyAlignment="1">
      <alignment horizontal="center"/>
    </xf>
    <xf numFmtId="0" fontId="0" fillId="37" borderId="95" xfId="0" applyFill="1" applyBorder="1" applyAlignment="1">
      <alignment horizontal="center"/>
    </xf>
    <xf numFmtId="0" fontId="0" fillId="37" borderId="98" xfId="0" applyFill="1" applyBorder="1" applyAlignment="1">
      <alignment horizontal="center"/>
    </xf>
    <xf numFmtId="0" fontId="0" fillId="37" borderId="99" xfId="0" applyFill="1" applyBorder="1" applyAlignment="1">
      <alignment horizontal="center"/>
    </xf>
    <xf numFmtId="0" fontId="0" fillId="37" borderId="36" xfId="0" applyFill="1" applyBorder="1" applyAlignment="1">
      <alignment horizontal="center"/>
    </xf>
    <xf numFmtId="0" fontId="0" fillId="37" borderId="54" xfId="0" applyFill="1" applyBorder="1" applyAlignment="1">
      <alignment horizontal="center"/>
    </xf>
    <xf numFmtId="166" fontId="2" fillId="35" borderId="11" xfId="0" applyNumberFormat="1" applyFont="1" applyFill="1" applyBorder="1" applyAlignment="1" applyProtection="1">
      <alignment horizontal="center"/>
      <protection hidden="1"/>
    </xf>
    <xf numFmtId="166" fontId="2" fillId="35" borderId="13" xfId="0" applyNumberFormat="1" applyFont="1" applyFill="1" applyBorder="1" applyAlignment="1" applyProtection="1">
      <alignment horizontal="center"/>
      <protection hidden="1"/>
    </xf>
    <xf numFmtId="166" fontId="2" fillId="35" borderId="101" xfId="0" applyNumberFormat="1" applyFont="1" applyFill="1" applyBorder="1" applyAlignment="1" applyProtection="1">
      <alignment horizontal="center"/>
      <protection hidden="1"/>
    </xf>
    <xf numFmtId="166" fontId="2" fillId="35" borderId="103" xfId="0" applyNumberFormat="1" applyFont="1" applyFill="1" applyBorder="1" applyAlignment="1" applyProtection="1">
      <alignment horizontal="center"/>
      <protection hidden="1"/>
    </xf>
    <xf numFmtId="0" fontId="2" fillId="0" borderId="91" xfId="0" applyFont="1" applyBorder="1" applyAlignment="1">
      <alignment horizontal="center"/>
    </xf>
    <xf numFmtId="0" fontId="2" fillId="0" borderId="92" xfId="0" applyFont="1" applyBorder="1" applyAlignment="1">
      <alignment horizontal="center"/>
    </xf>
    <xf numFmtId="0" fontId="2" fillId="0" borderId="93" xfId="0" applyFont="1" applyBorder="1" applyAlignment="1">
      <alignment horizontal="center"/>
    </xf>
    <xf numFmtId="0" fontId="2" fillId="0" borderId="107" xfId="0" applyFont="1" applyBorder="1" applyAlignment="1">
      <alignment horizontal="center"/>
    </xf>
    <xf numFmtId="0" fontId="2" fillId="0" borderId="106" xfId="0" applyFont="1" applyBorder="1" applyAlignment="1">
      <alignment horizontal="center"/>
    </xf>
    <xf numFmtId="0" fontId="2" fillId="0" borderId="96" xfId="0" applyFont="1" applyBorder="1" applyAlignment="1">
      <alignment horizontal="center"/>
    </xf>
    <xf numFmtId="0" fontId="4" fillId="27" borderId="88" xfId="0" applyFont="1" applyFill="1" applyBorder="1" applyAlignment="1">
      <alignment horizontal="center"/>
    </xf>
    <xf numFmtId="0" fontId="4" fillId="27" borderId="87" xfId="0" applyFont="1" applyFill="1" applyBorder="1" applyAlignment="1">
      <alignment horizontal="center"/>
    </xf>
    <xf numFmtId="0" fontId="4" fillId="27" borderId="86" xfId="0" applyFont="1" applyFill="1" applyBorder="1" applyAlignment="1">
      <alignment horizontal="center"/>
    </xf>
    <xf numFmtId="0" fontId="4" fillId="27" borderId="114" xfId="0" applyFont="1" applyFill="1" applyBorder="1" applyAlignment="1">
      <alignment horizontal="center"/>
    </xf>
    <xf numFmtId="0" fontId="4" fillId="27" borderId="113" xfId="0" applyFont="1" applyFill="1" applyBorder="1" applyAlignment="1">
      <alignment horizontal="center"/>
    </xf>
    <xf numFmtId="0" fontId="2" fillId="0" borderId="89" xfId="0" applyFont="1" applyBorder="1" applyAlignment="1">
      <alignment horizontal="center"/>
    </xf>
    <xf numFmtId="0" fontId="2" fillId="0" borderId="112" xfId="0" applyFont="1" applyBorder="1" applyAlignment="1">
      <alignment horizontal="center"/>
    </xf>
    <xf numFmtId="0" fontId="2" fillId="0" borderId="65" xfId="0" applyFont="1" applyBorder="1" applyAlignment="1">
      <alignment horizontal="center"/>
    </xf>
    <xf numFmtId="0" fontId="32" fillId="0" borderId="97" xfId="44" applyFont="1" applyBorder="1" applyAlignment="1">
      <alignment horizontal="left" vertical="center"/>
    </xf>
    <xf numFmtId="0" fontId="32" fillId="0" borderId="100" xfId="0" applyFont="1" applyBorder="1" applyAlignment="1">
      <alignment horizontal="center"/>
    </xf>
    <xf numFmtId="166" fontId="32" fillId="25" borderId="100" xfId="44" applyNumberFormat="1" applyFont="1" applyFill="1" applyBorder="1" applyAlignment="1" applyProtection="1">
      <alignment horizontal="center"/>
      <protection hidden="1"/>
    </xf>
    <xf numFmtId="1" fontId="32" fillId="30" borderId="96" xfId="44" applyNumberFormat="1" applyFont="1" applyFill="1" applyBorder="1" applyAlignment="1" applyProtection="1">
      <alignment horizontal="center"/>
      <protection hidden="1"/>
    </xf>
    <xf numFmtId="0" fontId="32" fillId="31" borderId="97" xfId="44" applyFont="1" applyFill="1" applyBorder="1" applyAlignment="1">
      <alignment horizontal="left" vertical="center"/>
    </xf>
    <xf numFmtId="0" fontId="32" fillId="26" borderId="100" xfId="44" applyFont="1" applyFill="1" applyBorder="1" applyAlignment="1">
      <alignment horizontal="center"/>
    </xf>
    <xf numFmtId="0" fontId="32" fillId="0" borderId="100" xfId="44" applyFont="1" applyBorder="1" applyAlignment="1">
      <alignment horizontal="center"/>
    </xf>
    <xf numFmtId="0" fontId="32" fillId="31" borderId="100" xfId="44" applyFont="1" applyFill="1" applyBorder="1" applyAlignment="1">
      <alignment horizontal="center"/>
    </xf>
  </cellXfs>
  <cellStyles count="48">
    <cellStyle name="1000-sep (2 dec)_0.1 Alpha Wafer Quick Calc 13.02.2011 JKR" xfId="1" xr:uid="{00000000-0005-0000-0000-000000000000}"/>
    <cellStyle name="1000-sep (2 dec)_0.1 Alpha Wafer Quick Calc 13.02.2011 JKR 2" xfId="47" xr:uid="{B8003B56-3A56-4395-AAFE-9B0CD2DB9D8B}"/>
    <cellStyle name="20 % - Akzent1" xfId="2" xr:uid="{00000000-0005-0000-0000-000001000000}"/>
    <cellStyle name="20 % - Akzent2" xfId="3" xr:uid="{00000000-0005-0000-0000-000002000000}"/>
    <cellStyle name="20 % - Akzent3" xfId="4" xr:uid="{00000000-0005-0000-0000-000003000000}"/>
    <cellStyle name="20 % - Akzent4" xfId="5" xr:uid="{00000000-0005-0000-0000-000004000000}"/>
    <cellStyle name="20 % - Akzent5" xfId="6" xr:uid="{00000000-0005-0000-0000-000005000000}"/>
    <cellStyle name="20 % - Akzent6" xfId="7" xr:uid="{00000000-0005-0000-0000-000006000000}"/>
    <cellStyle name="40 % - Akzent1" xfId="8" xr:uid="{00000000-0005-0000-0000-000007000000}"/>
    <cellStyle name="40 % - Akzent2" xfId="9" xr:uid="{00000000-0005-0000-0000-000008000000}"/>
    <cellStyle name="40 % - Akzent3" xfId="10" xr:uid="{00000000-0005-0000-0000-000009000000}"/>
    <cellStyle name="40 % - Akzent4" xfId="11" xr:uid="{00000000-0005-0000-0000-00000A000000}"/>
    <cellStyle name="40 % - Akzent5" xfId="12" xr:uid="{00000000-0005-0000-0000-00000B000000}"/>
    <cellStyle name="40 % - Akzent6" xfId="13" xr:uid="{00000000-0005-0000-0000-00000C000000}"/>
    <cellStyle name="60 % - Akzent1" xfId="14" xr:uid="{00000000-0005-0000-0000-00000D000000}"/>
    <cellStyle name="60 % - Akzent2" xfId="15" xr:uid="{00000000-0005-0000-0000-00000E000000}"/>
    <cellStyle name="60 % - Akzent3" xfId="16" xr:uid="{00000000-0005-0000-0000-00000F000000}"/>
    <cellStyle name="60 % - Akzent4" xfId="17" xr:uid="{00000000-0005-0000-0000-000010000000}"/>
    <cellStyle name="60 % - Akzent5" xfId="18" xr:uid="{00000000-0005-0000-0000-000011000000}"/>
    <cellStyle name="60 % - Akzent6" xfId="19" xr:uid="{00000000-0005-0000-0000-000012000000}"/>
    <cellStyle name="Akzent1" xfId="20" xr:uid="{00000000-0005-0000-0000-000013000000}"/>
    <cellStyle name="Akzent2" xfId="21" xr:uid="{00000000-0005-0000-0000-000014000000}"/>
    <cellStyle name="Akzent3" xfId="22" xr:uid="{00000000-0005-0000-0000-000015000000}"/>
    <cellStyle name="Akzent4" xfId="23" xr:uid="{00000000-0005-0000-0000-000016000000}"/>
    <cellStyle name="Akzent5" xfId="24" xr:uid="{00000000-0005-0000-0000-000017000000}"/>
    <cellStyle name="Akzent6" xfId="25" xr:uid="{00000000-0005-0000-0000-000018000000}"/>
    <cellStyle name="Ausgabe" xfId="26" xr:uid="{00000000-0005-0000-0000-000019000000}"/>
    <cellStyle name="Berechnung" xfId="27" xr:uid="{00000000-0005-0000-0000-00001A000000}"/>
    <cellStyle name="Comma 2" xfId="46" xr:uid="{FA08FC2E-58CE-4F31-9C65-C64266A30581}"/>
    <cellStyle name="Eingabe" xfId="28" xr:uid="{00000000-0005-0000-0000-00001B000000}"/>
    <cellStyle name="Ergebnis" xfId="29" xr:uid="{00000000-0005-0000-0000-00001C000000}"/>
    <cellStyle name="Erklärender Text" xfId="30" xr:uid="{00000000-0005-0000-0000-00001D000000}"/>
    <cellStyle name="Gut" xfId="31" xr:uid="{00000000-0005-0000-0000-00001E000000}"/>
    <cellStyle name="Komma 2" xfId="45" xr:uid="{00000000-0005-0000-0000-00001F000000}"/>
    <cellStyle name="Normal" xfId="0" builtinId="0"/>
    <cellStyle name="Normal 2" xfId="44" xr:uid="{00000000-0005-0000-0000-000021000000}"/>
    <cellStyle name="Notiz" xfId="32" xr:uid="{00000000-0005-0000-0000-000022000000}"/>
    <cellStyle name="Procent 2" xfId="33" xr:uid="{00000000-0005-0000-0000-000023000000}"/>
    <cellStyle name="Procent 2 2" xfId="34" xr:uid="{00000000-0005-0000-0000-000024000000}"/>
    <cellStyle name="Schlecht" xfId="35" xr:uid="{00000000-0005-0000-0000-000025000000}"/>
    <cellStyle name="Verknüpfte Zelle" xfId="36" xr:uid="{00000000-0005-0000-0000-000026000000}"/>
    <cellStyle name="Warnender Text" xfId="37" xr:uid="{00000000-0005-0000-0000-000027000000}"/>
    <cellStyle name="Überschrift" xfId="38" xr:uid="{00000000-0005-0000-0000-000028000000}"/>
    <cellStyle name="Überschrift 1" xfId="39" xr:uid="{00000000-0005-0000-0000-000029000000}"/>
    <cellStyle name="Überschrift 2" xfId="40" xr:uid="{00000000-0005-0000-0000-00002A000000}"/>
    <cellStyle name="Überschrift 3" xfId="41" xr:uid="{00000000-0005-0000-0000-00002B000000}"/>
    <cellStyle name="Überschrift 4" xfId="42" xr:uid="{00000000-0005-0000-0000-00002C000000}"/>
    <cellStyle name="Zelle überprüfen" xfId="43" xr:uid="{00000000-0005-0000-0000-00002D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eetMetadata" Target="metadata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emf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4.emf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emf"/><Relationship Id="rId1" Type="http://schemas.openxmlformats.org/officeDocument/2006/relationships/image" Target="../media/image6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jpeg"/><Relationship Id="rId2" Type="http://schemas.openxmlformats.org/officeDocument/2006/relationships/image" Target="../media/image4.emf"/><Relationship Id="rId1" Type="http://schemas.openxmlformats.org/officeDocument/2006/relationships/image" Target="../media/image9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tiff"/><Relationship Id="rId2" Type="http://schemas.openxmlformats.org/officeDocument/2006/relationships/image" Target="../media/image12.jpeg"/><Relationship Id="rId1" Type="http://schemas.openxmlformats.org/officeDocument/2006/relationships/image" Target="../media/image11.tiff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jpeg"/><Relationship Id="rId2" Type="http://schemas.openxmlformats.org/officeDocument/2006/relationships/image" Target="../media/image15.jpeg"/><Relationship Id="rId1" Type="http://schemas.openxmlformats.org/officeDocument/2006/relationships/image" Target="../media/image14.emf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8.png"/><Relationship Id="rId1" Type="http://schemas.openxmlformats.org/officeDocument/2006/relationships/image" Target="../media/image17.jpe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0.jpg"/><Relationship Id="rId2" Type="http://schemas.microsoft.com/office/2007/relationships/hdphoto" Target="../media/hdphoto1.wdp"/><Relationship Id="rId1" Type="http://schemas.openxmlformats.org/officeDocument/2006/relationships/image" Target="../media/image19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687380</xdr:colOff>
      <xdr:row>2</xdr:row>
      <xdr:rowOff>65556</xdr:rowOff>
    </xdr:from>
    <xdr:to>
      <xdr:col>9</xdr:col>
      <xdr:colOff>404346</xdr:colOff>
      <xdr:row>19</xdr:row>
      <xdr:rowOff>97156</xdr:rowOff>
    </xdr:to>
    <xdr:pic>
      <xdr:nvPicPr>
        <xdr:cNvPr id="2" name="Billede 1">
          <a:extLst>
            <a:ext uri="{FF2B5EF4-FFF2-40B4-BE49-F238E27FC236}">
              <a16:creationId xmlns:a16="http://schemas.microsoft.com/office/drawing/2014/main" id="{908F6274-DF66-49F9-861B-66DC4665BCB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602" t="15055" r="34082" b="11296"/>
        <a:stretch/>
      </xdr:blipFill>
      <xdr:spPr>
        <a:xfrm>
          <a:off x="6640505" y="616101"/>
          <a:ext cx="1911526" cy="2927200"/>
        </a:xfrm>
        <a:prstGeom prst="rect">
          <a:avLst/>
        </a:prstGeom>
      </xdr:spPr>
    </xdr:pic>
    <xdr:clientData/>
  </xdr:twoCellAnchor>
  <xdr:twoCellAnchor editAs="oneCell">
    <xdr:from>
      <xdr:col>5</xdr:col>
      <xdr:colOff>289900</xdr:colOff>
      <xdr:row>21</xdr:row>
      <xdr:rowOff>85725</xdr:rowOff>
    </xdr:from>
    <xdr:to>
      <xdr:col>10</xdr:col>
      <xdr:colOff>451485</xdr:colOff>
      <xdr:row>32</xdr:row>
      <xdr:rowOff>60405</xdr:rowOff>
    </xdr:to>
    <xdr:pic>
      <xdr:nvPicPr>
        <xdr:cNvPr id="3" name="Billede 2">
          <a:extLst>
            <a:ext uri="{FF2B5EF4-FFF2-40B4-BE49-F238E27FC236}">
              <a16:creationId xmlns:a16="http://schemas.microsoft.com/office/drawing/2014/main" id="{08AAD83A-4607-45E8-AAD5-9CA8E11AD7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2890" y="3897630"/>
          <a:ext cx="4162085" cy="18187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1028700</xdr:colOff>
      <xdr:row>19</xdr:row>
      <xdr:rowOff>66675</xdr:rowOff>
    </xdr:from>
    <xdr:to>
      <xdr:col>5</xdr:col>
      <xdr:colOff>17145</xdr:colOff>
      <xdr:row>29</xdr:row>
      <xdr:rowOff>161925</xdr:rowOff>
    </xdr:to>
    <xdr:pic>
      <xdr:nvPicPr>
        <xdr:cNvPr id="4" name="Billede 3">
          <a:extLst>
            <a:ext uri="{FF2B5EF4-FFF2-40B4-BE49-F238E27FC236}">
              <a16:creationId xmlns:a16="http://schemas.microsoft.com/office/drawing/2014/main" id="{DE8A42FF-6696-40C8-80C7-F669D831E6B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686" t="15462" r="34998" b="12516"/>
        <a:stretch/>
      </xdr:blipFill>
      <xdr:spPr>
        <a:xfrm>
          <a:off x="3705225" y="3531870"/>
          <a:ext cx="1190625" cy="177927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1008062</xdr:colOff>
      <xdr:row>36</xdr:row>
      <xdr:rowOff>87312</xdr:rowOff>
    </xdr:from>
    <xdr:to>
      <xdr:col>4</xdr:col>
      <xdr:colOff>206057</xdr:colOff>
      <xdr:row>44</xdr:row>
      <xdr:rowOff>57467</xdr:rowOff>
    </xdr:to>
    <xdr:pic>
      <xdr:nvPicPr>
        <xdr:cNvPr id="2" name="Billede 6">
          <a:extLst>
            <a:ext uri="{FF2B5EF4-FFF2-40B4-BE49-F238E27FC236}">
              <a16:creationId xmlns:a16="http://schemas.microsoft.com/office/drawing/2014/main" id="{FE9E8302-BA65-4085-9F80-320845BA67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55072" y="6470967"/>
          <a:ext cx="1400175" cy="13188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104775</xdr:colOff>
      <xdr:row>6</xdr:row>
      <xdr:rowOff>38100</xdr:rowOff>
    </xdr:from>
    <xdr:to>
      <xdr:col>9</xdr:col>
      <xdr:colOff>328844</xdr:colOff>
      <xdr:row>26</xdr:row>
      <xdr:rowOff>114301</xdr:rowOff>
    </xdr:to>
    <xdr:pic>
      <xdr:nvPicPr>
        <xdr:cNvPr id="3" name="Billede 2">
          <a:extLst>
            <a:ext uri="{FF2B5EF4-FFF2-40B4-BE49-F238E27FC236}">
              <a16:creationId xmlns:a16="http://schemas.microsoft.com/office/drawing/2014/main" id="{1DB83ACE-0FE3-4751-947F-4B9CDF1549A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411" r="12312" b="1814"/>
        <a:stretch/>
      </xdr:blipFill>
      <xdr:spPr>
        <a:xfrm>
          <a:off x="6856095" y="1276350"/>
          <a:ext cx="2174789" cy="344424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1009650</xdr:colOff>
      <xdr:row>25</xdr:row>
      <xdr:rowOff>31754</xdr:rowOff>
    </xdr:from>
    <xdr:to>
      <xdr:col>4</xdr:col>
      <xdr:colOff>283845</xdr:colOff>
      <xdr:row>33</xdr:row>
      <xdr:rowOff>165104</xdr:rowOff>
    </xdr:to>
    <xdr:pic>
      <xdr:nvPicPr>
        <xdr:cNvPr id="2" name="Picture 3" descr="OPTIMA Compact pre setting">
          <a:extLst>
            <a:ext uri="{FF2B5EF4-FFF2-40B4-BE49-F238E27FC236}">
              <a16:creationId xmlns:a16="http://schemas.microsoft.com/office/drawing/2014/main" id="{3C9A3FBA-E04F-41F7-BB04-404652774F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06165" y="4525649"/>
          <a:ext cx="1476375" cy="14744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28575</xdr:colOff>
      <xdr:row>23</xdr:row>
      <xdr:rowOff>9525</xdr:rowOff>
    </xdr:from>
    <xdr:to>
      <xdr:col>9</xdr:col>
      <xdr:colOff>1276350</xdr:colOff>
      <xdr:row>35</xdr:row>
      <xdr:rowOff>116205</xdr:rowOff>
    </xdr:to>
    <xdr:pic>
      <xdr:nvPicPr>
        <xdr:cNvPr id="3" name="Picture 5">
          <a:extLst>
            <a:ext uri="{FF2B5EF4-FFF2-40B4-BE49-F238E27FC236}">
              <a16:creationId xmlns:a16="http://schemas.microsoft.com/office/drawing/2014/main" id="{B322DD9A-C1D7-4331-A9C1-8B93C50D90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37020" y="4164330"/>
          <a:ext cx="3198495" cy="2133600"/>
        </a:xfrm>
        <a:prstGeom prst="rect">
          <a:avLst/>
        </a:prstGeom>
        <a:noFill/>
        <a:ln w="63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</xdr:row>
      <xdr:rowOff>92111</xdr:rowOff>
    </xdr:from>
    <xdr:to>
      <xdr:col>9</xdr:col>
      <xdr:colOff>712471</xdr:colOff>
      <xdr:row>19</xdr:row>
      <xdr:rowOff>156215</xdr:rowOff>
    </xdr:to>
    <xdr:pic>
      <xdr:nvPicPr>
        <xdr:cNvPr id="4" name="Billede 3">
          <a:extLst>
            <a:ext uri="{FF2B5EF4-FFF2-40B4-BE49-F238E27FC236}">
              <a16:creationId xmlns:a16="http://schemas.microsoft.com/office/drawing/2014/main" id="{491E1A44-29AE-4D59-BAD5-DB50C8CFE0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43775" y="648371"/>
          <a:ext cx="1931671" cy="295208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295275</xdr:colOff>
      <xdr:row>27</xdr:row>
      <xdr:rowOff>28575</xdr:rowOff>
    </xdr:from>
    <xdr:to>
      <xdr:col>9</xdr:col>
      <xdr:colOff>762000</xdr:colOff>
      <xdr:row>39</xdr:row>
      <xdr:rowOff>117475</xdr:rowOff>
    </xdr:to>
    <xdr:pic>
      <xdr:nvPicPr>
        <xdr:cNvPr id="2" name="Billede 5">
          <a:extLst>
            <a:ext uri="{FF2B5EF4-FFF2-40B4-BE49-F238E27FC236}">
              <a16:creationId xmlns:a16="http://schemas.microsoft.com/office/drawing/2014/main" id="{01522779-6450-438B-95BB-B295E50875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207" t="15598" r="7175" b="13535"/>
        <a:stretch>
          <a:fillRect/>
        </a:stretch>
      </xdr:blipFill>
      <xdr:spPr bwMode="auto">
        <a:xfrm>
          <a:off x="6153150" y="4657725"/>
          <a:ext cx="3086100" cy="205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1008062</xdr:colOff>
      <xdr:row>36</xdr:row>
      <xdr:rowOff>87312</xdr:rowOff>
    </xdr:from>
    <xdr:to>
      <xdr:col>4</xdr:col>
      <xdr:colOff>225107</xdr:colOff>
      <xdr:row>44</xdr:row>
      <xdr:rowOff>36512</xdr:rowOff>
    </xdr:to>
    <xdr:pic>
      <xdr:nvPicPr>
        <xdr:cNvPr id="3" name="Billede 6">
          <a:extLst>
            <a:ext uri="{FF2B5EF4-FFF2-40B4-BE49-F238E27FC236}">
              <a16:creationId xmlns:a16="http://schemas.microsoft.com/office/drawing/2014/main" id="{F6D8608C-3A19-44E4-888C-16AE21561B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75062" y="6183312"/>
          <a:ext cx="1360170" cy="1254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357188</xdr:colOff>
      <xdr:row>2</xdr:row>
      <xdr:rowOff>46109</xdr:rowOff>
    </xdr:from>
    <xdr:to>
      <xdr:col>8</xdr:col>
      <xdr:colOff>688975</xdr:colOff>
      <xdr:row>16</xdr:row>
      <xdr:rowOff>34925</xdr:rowOff>
    </xdr:to>
    <xdr:pic>
      <xdr:nvPicPr>
        <xdr:cNvPr id="4" name="Billede 3">
          <a:extLst>
            <a:ext uri="{FF2B5EF4-FFF2-40B4-BE49-F238E27FC236}">
              <a16:creationId xmlns:a16="http://schemas.microsoft.com/office/drawing/2014/main" id="{08291C70-AA9B-473A-8501-755BAD804A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29438" y="579509"/>
          <a:ext cx="1522412" cy="230339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1000125</xdr:colOff>
      <xdr:row>15</xdr:row>
      <xdr:rowOff>15286</xdr:rowOff>
    </xdr:from>
    <xdr:to>
      <xdr:col>4</xdr:col>
      <xdr:colOff>104775</xdr:colOff>
      <xdr:row>24</xdr:row>
      <xdr:rowOff>1</xdr:rowOff>
    </xdr:to>
    <xdr:pic>
      <xdr:nvPicPr>
        <xdr:cNvPr id="6" name="Billede 5">
          <a:extLst>
            <a:ext uri="{FF2B5EF4-FFF2-40B4-BE49-F238E27FC236}">
              <a16:creationId xmlns:a16="http://schemas.microsoft.com/office/drawing/2014/main" id="{2B405AB4-D705-4864-9CE6-337B1D6183A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6858" t="12814" r="33691" b="36715"/>
        <a:stretch/>
      </xdr:blipFill>
      <xdr:spPr>
        <a:xfrm>
          <a:off x="3533775" y="4653961"/>
          <a:ext cx="1247775" cy="1442040"/>
        </a:xfrm>
        <a:prstGeom prst="rect">
          <a:avLst/>
        </a:prstGeom>
      </xdr:spPr>
    </xdr:pic>
    <xdr:clientData/>
  </xdr:twoCellAnchor>
  <xdr:twoCellAnchor editAs="oneCell">
    <xdr:from>
      <xdr:col>5</xdr:col>
      <xdr:colOff>180975</xdr:colOff>
      <xdr:row>2</xdr:row>
      <xdr:rowOff>66675</xdr:rowOff>
    </xdr:from>
    <xdr:to>
      <xdr:col>7</xdr:col>
      <xdr:colOff>104775</xdr:colOff>
      <xdr:row>13</xdr:row>
      <xdr:rowOff>149121</xdr:rowOff>
    </xdr:to>
    <xdr:pic>
      <xdr:nvPicPr>
        <xdr:cNvPr id="8" name="Billede 7">
          <a:extLst>
            <a:ext uri="{FF2B5EF4-FFF2-40B4-BE49-F238E27FC236}">
              <a16:creationId xmlns:a16="http://schemas.microsoft.com/office/drawing/2014/main" id="{2BF27D32-85B7-4C8C-8E26-8440B6774B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05500" y="600075"/>
          <a:ext cx="1352550" cy="1911246"/>
        </a:xfrm>
        <a:prstGeom prst="rect">
          <a:avLst/>
        </a:prstGeom>
      </xdr:spPr>
    </xdr:pic>
    <xdr:clientData/>
  </xdr:twoCellAnchor>
  <xdr:twoCellAnchor editAs="oneCell">
    <xdr:from>
      <xdr:col>6</xdr:col>
      <xdr:colOff>609600</xdr:colOff>
      <xdr:row>3</xdr:row>
      <xdr:rowOff>66675</xdr:rowOff>
    </xdr:from>
    <xdr:to>
      <xdr:col>9</xdr:col>
      <xdr:colOff>452438</xdr:colOff>
      <xdr:row>24</xdr:row>
      <xdr:rowOff>123825</xdr:rowOff>
    </xdr:to>
    <xdr:pic>
      <xdr:nvPicPr>
        <xdr:cNvPr id="10" name="Billede 9">
          <a:extLst>
            <a:ext uri="{FF2B5EF4-FFF2-40B4-BE49-F238E27FC236}">
              <a16:creationId xmlns:a16="http://schemas.microsoft.com/office/drawing/2014/main" id="{89630C09-9A53-4C60-8CF3-D12D335C3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48500" y="771525"/>
          <a:ext cx="1747838" cy="349567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8</xdr:col>
      <xdr:colOff>142875</xdr:colOff>
      <xdr:row>15</xdr:row>
      <xdr:rowOff>66675</xdr:rowOff>
    </xdr:from>
    <xdr:ext cx="3914775" cy="2009775"/>
    <xdr:pic>
      <xdr:nvPicPr>
        <xdr:cNvPr id="2" name="Picture 6">
          <a:extLst>
            <a:ext uri="{FF2B5EF4-FFF2-40B4-BE49-F238E27FC236}">
              <a16:creationId xmlns:a16="http://schemas.microsoft.com/office/drawing/2014/main" id="{825F87B4-41F7-4919-AEA9-6DCF509A48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86475" y="2495550"/>
          <a:ext cx="3914775" cy="2009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142875</xdr:colOff>
      <xdr:row>14</xdr:row>
      <xdr:rowOff>19050</xdr:rowOff>
    </xdr:from>
    <xdr:ext cx="2314575" cy="2105025"/>
    <xdr:pic>
      <xdr:nvPicPr>
        <xdr:cNvPr id="3" name="Picture 5" descr="49-9037">
          <a:extLst>
            <a:ext uri="{FF2B5EF4-FFF2-40B4-BE49-F238E27FC236}">
              <a16:creationId xmlns:a16="http://schemas.microsoft.com/office/drawing/2014/main" id="{2CF315C6-F571-49BD-B6A7-EC951DE22A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2286000"/>
          <a:ext cx="2314575" cy="2105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8</xdr:col>
      <xdr:colOff>28575</xdr:colOff>
      <xdr:row>14</xdr:row>
      <xdr:rowOff>114300</xdr:rowOff>
    </xdr:from>
    <xdr:ext cx="4114800" cy="2038350"/>
    <xdr:sp macro="" textlink="">
      <xdr:nvSpPr>
        <xdr:cNvPr id="4" name="Picture 6">
          <a:extLst>
            <a:ext uri="{FF2B5EF4-FFF2-40B4-BE49-F238E27FC236}">
              <a16:creationId xmlns:a16="http://schemas.microsoft.com/office/drawing/2014/main" id="{8A94A511-6CFE-494E-BDC0-8CAEC72FB052}"/>
            </a:ext>
          </a:extLst>
        </xdr:cNvPr>
        <xdr:cNvSpPr>
          <a:spLocks noChangeAspect="1" noChangeArrowheads="1"/>
        </xdr:cNvSpPr>
      </xdr:nvSpPr>
      <xdr:spPr bwMode="auto">
        <a:xfrm>
          <a:off x="5972175" y="2381250"/>
          <a:ext cx="4114800" cy="2038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628650</xdr:colOff>
      <xdr:row>14</xdr:row>
      <xdr:rowOff>152400</xdr:rowOff>
    </xdr:from>
    <xdr:ext cx="828675" cy="1019175"/>
    <xdr:pic>
      <xdr:nvPicPr>
        <xdr:cNvPr id="5" name="Picture 7" descr="dn25L-50">
          <a:extLst>
            <a:ext uri="{FF2B5EF4-FFF2-40B4-BE49-F238E27FC236}">
              <a16:creationId xmlns:a16="http://schemas.microsoft.com/office/drawing/2014/main" id="{1835C690-672C-4810-9AAE-4F7C30DFBB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2400000">
          <a:off x="5086350" y="2419350"/>
          <a:ext cx="828675" cy="1019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102870</xdr:colOff>
      <xdr:row>9</xdr:row>
      <xdr:rowOff>0</xdr:rowOff>
    </xdr:from>
    <xdr:to>
      <xdr:col>16</xdr:col>
      <xdr:colOff>501015</xdr:colOff>
      <xdr:row>104</xdr:row>
      <xdr:rowOff>140970</xdr:rowOff>
    </xdr:to>
    <xdr:pic>
      <xdr:nvPicPr>
        <xdr:cNvPr id="2" name="Picture 6" descr="Alpha Wafer">
          <a:extLst>
            <a:ext uri="{FF2B5EF4-FFF2-40B4-BE49-F238E27FC236}">
              <a16:creationId xmlns:a16="http://schemas.microsoft.com/office/drawing/2014/main" id="{F40AF834-37E5-4152-9299-B37535F959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70395" y="1554480"/>
          <a:ext cx="2712720" cy="33223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333375</xdr:colOff>
      <xdr:row>101</xdr:row>
      <xdr:rowOff>9525</xdr:rowOff>
    </xdr:from>
    <xdr:to>
      <xdr:col>10</xdr:col>
      <xdr:colOff>419100</xdr:colOff>
      <xdr:row>120</xdr:row>
      <xdr:rowOff>66675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3511F3C-E487-4A31-A82C-0D3D01C40F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24100" y="4206240"/>
          <a:ext cx="4396740" cy="3368040"/>
        </a:xfrm>
        <a:prstGeom prst="rect">
          <a:avLst/>
        </a:prstGeom>
        <a:solidFill>
          <a:srgbClr val="C0C0C0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 algn="ctr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581025</xdr:colOff>
      <xdr:row>10</xdr:row>
      <xdr:rowOff>57149</xdr:rowOff>
    </xdr:from>
    <xdr:to>
      <xdr:col>17</xdr:col>
      <xdr:colOff>317809</xdr:colOff>
      <xdr:row>114</xdr:row>
      <xdr:rowOff>152907</xdr:rowOff>
    </xdr:to>
    <xdr:pic>
      <xdr:nvPicPr>
        <xdr:cNvPr id="2" name="Billed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39050" y="1609724"/>
          <a:ext cx="2777640" cy="2743708"/>
        </a:xfrm>
        <a:prstGeom prst="rect">
          <a:avLst/>
        </a:prstGeom>
      </xdr:spPr>
    </xdr:pic>
    <xdr:clientData/>
  </xdr:twoCellAnchor>
  <xdr:twoCellAnchor editAs="oneCell">
    <xdr:from>
      <xdr:col>4</xdr:col>
      <xdr:colOff>254000</xdr:colOff>
      <xdr:row>112</xdr:row>
      <xdr:rowOff>31750</xdr:rowOff>
    </xdr:from>
    <xdr:to>
      <xdr:col>10</xdr:col>
      <xdr:colOff>351424</xdr:colOff>
      <xdr:row>126</xdr:row>
      <xdr:rowOff>147548</xdr:rowOff>
    </xdr:to>
    <xdr:pic>
      <xdr:nvPicPr>
        <xdr:cNvPr id="5" name="Billed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21000" y="4260850"/>
          <a:ext cx="4259849" cy="2630398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938770</xdr:colOff>
      <xdr:row>12</xdr:row>
      <xdr:rowOff>85725</xdr:rowOff>
    </xdr:from>
    <xdr:to>
      <xdr:col>7</xdr:col>
      <xdr:colOff>815340</xdr:colOff>
      <xdr:row>28</xdr:row>
      <xdr:rowOff>136217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C4CD93DB-4A1F-4371-BD0E-7D83B116B3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49960" y="2354580"/>
          <a:ext cx="2162570" cy="296895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B65457-8E97-478C-96B0-1151FFD138EA}">
  <dimension ref="A1:L51"/>
  <sheetViews>
    <sheetView showGridLines="0" zoomScaleNormal="100" workbookViewId="0">
      <selection activeCell="D51" sqref="D51"/>
    </sheetView>
  </sheetViews>
  <sheetFormatPr defaultColWidth="8.85546875" defaultRowHeight="12.75" x14ac:dyDescent="0.2"/>
  <cols>
    <col min="1" max="1" width="24.7109375" customWidth="1"/>
    <col min="2" max="2" width="14.28515625" customWidth="1"/>
    <col min="3" max="3" width="15.7109375" customWidth="1"/>
    <col min="4" max="4" width="16.42578125" customWidth="1"/>
    <col min="5" max="5" width="15.7109375" hidden="1" customWidth="1"/>
    <col min="6" max="6" width="15.7109375" customWidth="1"/>
    <col min="7" max="10" width="10.7109375" customWidth="1"/>
    <col min="11" max="11" width="20.42578125" customWidth="1"/>
    <col min="15" max="16" width="20.28515625" bestFit="1" customWidth="1"/>
  </cols>
  <sheetData>
    <row r="1" spans="1:12" ht="21" thickTop="1" x14ac:dyDescent="0.3">
      <c r="A1" s="495" t="s">
        <v>634</v>
      </c>
      <c r="B1" s="496"/>
      <c r="C1" s="496"/>
      <c r="D1" s="496"/>
      <c r="E1" s="496"/>
      <c r="F1" s="496"/>
      <c r="G1" s="496"/>
      <c r="H1" s="496"/>
      <c r="I1" s="496"/>
      <c r="J1" s="496"/>
      <c r="K1" s="497"/>
      <c r="L1" s="208"/>
    </row>
    <row r="2" spans="1:12" ht="21" thickBot="1" x14ac:dyDescent="0.35">
      <c r="A2" s="498" t="s">
        <v>566</v>
      </c>
      <c r="B2" s="499"/>
      <c r="C2" s="499"/>
      <c r="D2" s="499"/>
      <c r="E2" s="499"/>
      <c r="F2" s="499"/>
      <c r="G2" s="499"/>
      <c r="H2" s="499"/>
      <c r="I2" s="499"/>
      <c r="J2" s="499"/>
      <c r="K2" s="500"/>
      <c r="L2" s="208"/>
    </row>
    <row r="3" spans="1:12" ht="13.5" thickTop="1" x14ac:dyDescent="0.2">
      <c r="A3" s="207"/>
      <c r="B3" s="206"/>
      <c r="C3" s="206"/>
      <c r="D3" s="205"/>
      <c r="E3" s="205"/>
      <c r="F3" s="205"/>
      <c r="G3" s="205"/>
      <c r="H3" s="205"/>
      <c r="I3" s="205"/>
      <c r="J3" s="205"/>
      <c r="K3" s="204"/>
    </row>
    <row r="4" spans="1:12" ht="13.5" thickBot="1" x14ac:dyDescent="0.25">
      <c r="A4" s="3"/>
      <c r="B4" s="372"/>
      <c r="D4" s="4"/>
      <c r="K4" s="2"/>
    </row>
    <row r="5" spans="1:12" ht="13.5" thickBot="1" x14ac:dyDescent="0.25">
      <c r="A5" s="7" t="s">
        <v>189</v>
      </c>
      <c r="B5" s="112">
        <v>200</v>
      </c>
      <c r="C5" s="184" t="s">
        <v>188</v>
      </c>
      <c r="D5" s="4"/>
      <c r="H5" s="4"/>
      <c r="K5" s="2"/>
    </row>
    <row r="6" spans="1:12" x14ac:dyDescent="0.2">
      <c r="A6" s="3"/>
      <c r="H6" s="4"/>
      <c r="K6" s="2"/>
    </row>
    <row r="7" spans="1:12" ht="13.5" thickBot="1" x14ac:dyDescent="0.25">
      <c r="A7" s="3"/>
      <c r="K7" s="2"/>
    </row>
    <row r="8" spans="1:12" ht="13.5" thickTop="1" x14ac:dyDescent="0.2">
      <c r="A8" s="501" t="s">
        <v>137</v>
      </c>
      <c r="B8" s="503" t="s">
        <v>136</v>
      </c>
      <c r="C8" s="503"/>
      <c r="D8" s="503" t="s">
        <v>135</v>
      </c>
      <c r="E8" s="503"/>
      <c r="F8" s="504"/>
      <c r="K8" s="2"/>
    </row>
    <row r="9" spans="1:12" x14ac:dyDescent="0.2">
      <c r="A9" s="502"/>
      <c r="B9" s="435" t="s">
        <v>187</v>
      </c>
      <c r="C9" s="435" t="s">
        <v>186</v>
      </c>
      <c r="D9" s="448" t="s">
        <v>132</v>
      </c>
      <c r="E9" s="449" t="s">
        <v>185</v>
      </c>
      <c r="F9" s="450" t="s">
        <v>131</v>
      </c>
      <c r="K9" s="2"/>
    </row>
    <row r="10" spans="1:12" x14ac:dyDescent="0.2">
      <c r="A10" s="451" t="s">
        <v>184</v>
      </c>
      <c r="B10" s="452" t="s">
        <v>183</v>
      </c>
      <c r="C10" s="452" t="s">
        <v>163</v>
      </c>
      <c r="D10" s="453">
        <f>IF(D38="UDEN FOR OMRÅDET","NOT POSSIBLE",(0.000000000005542*B5^4-0.000000011024963*B5^3+0.000008062366517*B5^2+0.001574675994768*B5+0.437597137192088))</f>
        <v>0.99569449282568789</v>
      </c>
      <c r="E10" s="454">
        <f>-0.0001914848*D10^5+0.0053285439*D10^4-0.054883786*D10^3+0.2534175671*D10^2-0.2481945056*D10+0.1333828468</f>
        <v>8.8369069276255041E-2</v>
      </c>
      <c r="F10" s="455">
        <f>IF(D38="UDEN FOR OMRÅDET","NOT POSSIBLE",IF(B5&lt;40,10,((((0.1322*D10^2+0.2648*D10+9.8241))))))</f>
        <v>10.218823976246579</v>
      </c>
      <c r="K10" s="2"/>
    </row>
    <row r="11" spans="1:12" x14ac:dyDescent="0.2">
      <c r="A11" s="456" t="s">
        <v>182</v>
      </c>
      <c r="B11" s="435" t="s">
        <v>181</v>
      </c>
      <c r="C11" s="435" t="s">
        <v>170</v>
      </c>
      <c r="D11" s="453">
        <f>IF(D39="UDEN FOR OMRÅDET","NOT POSSIBLE",(ROUND(0.000000000004935*B5^4-0.000000011338095*B5^3+0.000009011774864*B5^2+0.000523712911518*B5+0.458015907559471,1)))</f>
        <v>0.8</v>
      </c>
      <c r="E11" s="454">
        <f>-0.0001313737*D11^5+0.0033025825*D11^4-0.030488192*D11^3+0.130530682*D11^2-0.0056293818*D11+0.0026799239</f>
        <v>6.7415789893984029E-2</v>
      </c>
      <c r="F11" s="455">
        <f>IF(D39="UDEN FOR OMRÅDET","NOT POSSIBLE",IF(B5&lt;60,14,((((0.2956*D11^2-0.4757*D11+14.17))))))</f>
        <v>13.978624</v>
      </c>
      <c r="K11" s="2"/>
    </row>
    <row r="12" spans="1:12" x14ac:dyDescent="0.2">
      <c r="A12" s="451" t="s">
        <v>180</v>
      </c>
      <c r="B12" s="452" t="s">
        <v>179</v>
      </c>
      <c r="C12" s="452" t="s">
        <v>178</v>
      </c>
      <c r="D12" s="453">
        <f>IF(D40="UDEN FOR OMRÅDET","NOT POSSIBLE",IF(B5&lt;1465,(1.43958726E-12*B5^4-4.05602367413E-09*B5^3+0.0000042670132068909*B5^2-0.000061224426617176*B5+0.509465618579983),(2.758949268903E-08*B5^4-0.000165382498714462*B5^3+0.371749749406838*B5^2-371.370189738866*B5+139116.043827614)))</f>
        <v>0.63775641175514375</v>
      </c>
      <c r="E12" s="457">
        <f>-0.0002922512*D12^5+0.0079441211*D12^4-0.081093891*D12^3+0.3716534766*D12^2-0.315676037*D12+0.1555909698</f>
        <v>8.5678263046668535E-2</v>
      </c>
      <c r="F12" s="455">
        <f>IF(D40="UDEN FOR OMRÅDET","NOT POSSIBLE",IF(B5&lt;86,9,((((0.5565*D12^2-0.7865*D12+9.2446))))))</f>
        <v>8.9693516306234944</v>
      </c>
      <c r="K12" s="2"/>
    </row>
    <row r="13" spans="1:12" x14ac:dyDescent="0.2">
      <c r="A13" s="456" t="s">
        <v>177</v>
      </c>
      <c r="B13" s="435" t="s">
        <v>176</v>
      </c>
      <c r="C13" s="435" t="s">
        <v>175</v>
      </c>
      <c r="D13" s="453">
        <f>IF(D41="UDEN FOR OMRÅDET","NOT POSSIBLE",(ROUND(2.8068E-16*B5^5-1.30894961E-12*B5^4+2.26233522011E-09*B5^3-1.24113081172312E-06*B5^2+0.00135922155812669*B5+0.36672369992407,1)))</f>
        <v>0.6</v>
      </c>
      <c r="E13" s="454">
        <f>-0.0002702024*D13^5+0.0070152744*D13^4-0.0684282308*D13^3+0.303994227*D13^2-0.158105984*D13+0.1037020483</f>
        <v>0.104384050390816</v>
      </c>
      <c r="F13" s="455">
        <f>IF(D41="UDEN FOR OMRÅDET","NOT POSSIBLE",IF(B5&lt;1150,16,((((1.3*D13^2-3.3*D13+17.4))))))</f>
        <v>16</v>
      </c>
      <c r="K13" s="2"/>
    </row>
    <row r="14" spans="1:12" x14ac:dyDescent="0.2">
      <c r="A14" s="458" t="s">
        <v>174</v>
      </c>
      <c r="B14" s="459" t="s">
        <v>173</v>
      </c>
      <c r="C14" s="459" t="s">
        <v>163</v>
      </c>
      <c r="D14" s="453">
        <f>IF(D42="UDEN FOR OMRÅDET","NOT POSSIBLE",(ROUND(3.577666E-19*B5^6-2.0108634327E-15*B5^5+4.5155824969614E-12*B5^4-5.14850949044569E-09*B5^3+3.06014542707752E-06*B5^2+0.000866072655118996*B5+0.398843987528968,1)))</f>
        <v>0.7</v>
      </c>
      <c r="E14" s="454"/>
      <c r="F14" s="455">
        <f>IF(D42="UDEN FOR OMRÅDET","NOT POSSIBLE",IF(B5&lt;975,10.2,((((-2*D14^2+18.6*D14-16.4))))))</f>
        <v>10.199999999999999</v>
      </c>
      <c r="K14" s="2"/>
    </row>
    <row r="15" spans="1:12" x14ac:dyDescent="0.2">
      <c r="A15" s="456" t="s">
        <v>172</v>
      </c>
      <c r="B15" s="435" t="s">
        <v>171</v>
      </c>
      <c r="C15" s="435" t="s">
        <v>170</v>
      </c>
      <c r="D15" s="453">
        <f>IF(D43="UDEN FOR OMRÅDET","NOT POSSIBLE",(ROUND(1.6084E-16*B5^5-7.8792682E-13*B5^4+1.22444138078E-09*B5^3-5.1797692941027E-07*B5^2+0.00125732825340572*B5+0.327414644949624,1)
))</f>
        <v>0.6</v>
      </c>
      <c r="E15" s="454">
        <f>-0.0001720525*D15^5+0.0050695668*D15^4-0.0602406174*D15^3+0.3152398884*D15^2-0.0451710556*D15+0.0404546674</f>
        <v>0.11447005756048001</v>
      </c>
      <c r="F15" s="455">
        <f>IF(D43="UDEN FOR OMRÅDET","NOT POSSIBLE",IF(B5&lt;550,14,((((-0.299047619*D15^4+2.8238095238*D15^3-6.6666666667*D15^2+5.819047619*D15+12.4228571429))))))</f>
        <v>14</v>
      </c>
      <c r="K15" s="2"/>
    </row>
    <row r="16" spans="1:12" x14ac:dyDescent="0.2">
      <c r="A16" s="458" t="s">
        <v>155</v>
      </c>
      <c r="B16" s="459" t="s">
        <v>169</v>
      </c>
      <c r="C16" s="459" t="s">
        <v>168</v>
      </c>
      <c r="D16" s="453">
        <f>IF(D44="UDEN FOR OMRÅDET","NOT POSSIBLE",(0.0000000000000000485*B5^5-0.000000000000173929*B5^4+2.1806023467E-10*B5^3+5.857120184228E-08*B5^2+0.00159001465864468*B5+0.259046204559444))</f>
        <v>0.58087369983943127</v>
      </c>
      <c r="E16" s="454">
        <f>-0.0001720525*D16^5+0.0050695668*D16^4-0.0602406174*D16^3+0.3152398884*D16^2-0.0451710556*D16+0.0404546674</f>
        <v>0.10934134139126681</v>
      </c>
      <c r="F16" s="455">
        <f>IF(D44="UDEN FOR OMRÅDET","NOT POSSIBLE",IF(B5&lt;150,10,((((0.1321966693*D16^2+0.2648295004*D16+9.8240681998))))))</f>
        <v>10.022505732231149</v>
      </c>
      <c r="K16" s="2"/>
    </row>
    <row r="17" spans="1:11" x14ac:dyDescent="0.2">
      <c r="A17" s="456" t="s">
        <v>154</v>
      </c>
      <c r="B17" s="435" t="s">
        <v>167</v>
      </c>
      <c r="C17" s="435" t="s">
        <v>166</v>
      </c>
      <c r="D17" s="453">
        <f>IF(D45="UDEN FOR OMRÅDET","NOT POSSIBLE",(-0.0000000000000007646*B5^4+8.66167203E-12*B5^3-1.368304333946E-08*B5^2+0.000674608449084757*B5+0.365102207453672))</f>
        <v>0.49954464555328498</v>
      </c>
      <c r="E17" s="454">
        <f xml:space="preserve"> -0.0002207819*D17^5+0.0048575488*D17^4-0.042801013*D17^3+0.1612668541*D17^2+0.9429656517*D17-0.4890993807</f>
        <v>1.7157476504281177E-2</v>
      </c>
      <c r="F17" s="455">
        <f>IF(D45="UDEN FOR OMRÅDET","NOT POSSIBLE",IF(B5&lt;200,15,((((0.2852498017*D17^2+0.4377874703*D17+14.6948850119))))))</f>
        <v>14.984762018383936</v>
      </c>
      <c r="K17" s="2"/>
    </row>
    <row r="18" spans="1:11" x14ac:dyDescent="0.2">
      <c r="A18" s="458" t="s">
        <v>153</v>
      </c>
      <c r="B18" s="459" t="s">
        <v>165</v>
      </c>
      <c r="C18" s="459" t="s">
        <v>163</v>
      </c>
      <c r="D18" s="453" t="str">
        <f>IF(D46="UDEN FOR OMRÅDET","NOT POSSIBLE",(5.9873E-16*B5^4-0.0000000000095790398*B5^3+3.922038370896E-08*B5^2+0.0005179824896256*B5+0.107933010658806))</f>
        <v>NOT POSSIBLE</v>
      </c>
      <c r="E18" s="454" t="e">
        <f>-0.0012675993*D18^5+0.0341544632*D18^4-0.344969967*D18^3+1.5414329114*D18^2-1.1127621642*D18+0.3349824205</f>
        <v>#VALUE!</v>
      </c>
      <c r="F18" s="455" t="str">
        <f>IF(D46="UDEN FOR OMRÅDET","NOT POSSIBLE",IF(B5&lt;3350,10,((((0.95*D18^2-2.25*D18+10.8))))))</f>
        <v>NOT POSSIBLE</v>
      </c>
      <c r="K18" s="2"/>
    </row>
    <row r="19" spans="1:11" ht="13.5" thickBot="1" x14ac:dyDescent="0.25">
      <c r="A19" s="460" t="s">
        <v>152</v>
      </c>
      <c r="B19" s="461" t="s">
        <v>164</v>
      </c>
      <c r="C19" s="461" t="s">
        <v>163</v>
      </c>
      <c r="D19" s="462" t="str">
        <f>IF(D47="UDEN FOR OMRÅDET","NOT POSSIBLE",(ROUND(-0.00000000000000007*B5^4+0.00000000000118072*B5^3-0.00000001872155789*B5^2+0.00052869856838356*B5+0.0496570952659024,1)))</f>
        <v>NOT POSSIBLE</v>
      </c>
      <c r="E19" s="463" t="e">
        <f>-0.000196373*D19^5+0.0050851175*D19^4-0.0540651414*D19^3+0.1694730368*D19^2+2.4082032907*D19-1.4693911114</f>
        <v>#VALUE!</v>
      </c>
      <c r="F19" s="464" t="str">
        <f>IF(D47="UDEN FOR OMRÅDET","NOT POSSIBLE",IF(B5&lt;4200,10,((((-0.1914*D19^4+1.831*D19^3-4*D19^2+3.1548*D19+9.2057))))))</f>
        <v>NOT POSSIBLE</v>
      </c>
      <c r="K19" s="2"/>
    </row>
    <row r="20" spans="1:11" ht="13.5" thickTop="1" x14ac:dyDescent="0.2">
      <c r="A20" s="3"/>
      <c r="E20" s="198"/>
      <c r="K20" s="2"/>
    </row>
    <row r="21" spans="1:11" x14ac:dyDescent="0.2">
      <c r="A21" s="3"/>
      <c r="E21" s="4"/>
      <c r="F21" s="4"/>
      <c r="K21" s="2"/>
    </row>
    <row r="22" spans="1:11" x14ac:dyDescent="0.2">
      <c r="A22" s="3"/>
      <c r="E22" s="372"/>
      <c r="K22" s="2"/>
    </row>
    <row r="23" spans="1:11" x14ac:dyDescent="0.2">
      <c r="A23" s="3"/>
      <c r="E23" s="94"/>
      <c r="K23" s="2"/>
    </row>
    <row r="24" spans="1:11" x14ac:dyDescent="0.2">
      <c r="A24" s="3"/>
      <c r="E24" s="94"/>
      <c r="K24" s="2"/>
    </row>
    <row r="25" spans="1:11" x14ac:dyDescent="0.2">
      <c r="A25" s="3"/>
      <c r="E25" s="94"/>
      <c r="K25" s="2"/>
    </row>
    <row r="26" spans="1:11" x14ac:dyDescent="0.2">
      <c r="A26" s="3"/>
      <c r="E26" s="94"/>
      <c r="K26" s="2"/>
    </row>
    <row r="27" spans="1:11" x14ac:dyDescent="0.2">
      <c r="A27" s="3"/>
      <c r="E27" s="94"/>
      <c r="K27" s="2"/>
    </row>
    <row r="28" spans="1:11" x14ac:dyDescent="0.2">
      <c r="A28" s="3"/>
      <c r="E28" s="94"/>
      <c r="K28" s="2"/>
    </row>
    <row r="29" spans="1:11" x14ac:dyDescent="0.2">
      <c r="A29" s="3"/>
      <c r="E29" s="94"/>
      <c r="K29" s="2"/>
    </row>
    <row r="30" spans="1:11" x14ac:dyDescent="0.2">
      <c r="A30" s="3"/>
      <c r="E30" s="94"/>
      <c r="K30" s="2"/>
    </row>
    <row r="31" spans="1:11" x14ac:dyDescent="0.2">
      <c r="A31" s="3"/>
      <c r="E31" s="94"/>
      <c r="K31" s="2"/>
    </row>
    <row r="32" spans="1:11" x14ac:dyDescent="0.2">
      <c r="A32" s="3"/>
      <c r="F32" s="202"/>
      <c r="K32" s="2"/>
    </row>
    <row r="33" spans="1:11" ht="13.5" thickBot="1" x14ac:dyDescent="0.25">
      <c r="A33" s="173" t="s">
        <v>162</v>
      </c>
      <c r="B33" s="465"/>
      <c r="C33" s="465"/>
      <c r="D33" s="465"/>
      <c r="E33" s="465"/>
      <c r="F33" s="465"/>
      <c r="G33" s="465"/>
      <c r="H33" s="465"/>
      <c r="I33" s="465"/>
      <c r="J33" s="465"/>
      <c r="K33" s="6"/>
    </row>
    <row r="34" spans="1:11" ht="10.5" customHeight="1" thickTop="1" x14ac:dyDescent="0.2"/>
    <row r="36" spans="1:11" hidden="1" x14ac:dyDescent="0.2"/>
    <row r="37" spans="1:11" ht="13.5" hidden="1" thickTop="1" x14ac:dyDescent="0.2">
      <c r="A37" s="201" t="s">
        <v>126</v>
      </c>
      <c r="B37" s="200" t="s">
        <v>0</v>
      </c>
      <c r="C37" s="200" t="s">
        <v>125</v>
      </c>
      <c r="D37" s="369" t="s">
        <v>564</v>
      </c>
      <c r="E37" s="200"/>
    </row>
    <row r="38" spans="1:11" hidden="1" x14ac:dyDescent="0.2">
      <c r="A38" s="466" t="s">
        <v>161</v>
      </c>
      <c r="B38" s="368">
        <v>40</v>
      </c>
      <c r="C38" s="405">
        <v>900</v>
      </c>
      <c r="D38" s="386">
        <f t="shared" ref="D38:D47" si="0">IF($B$5&lt;=B38-1,"UDEN FOR OMRÅDET",IF($B$5&gt;=C38+1,"UDEN FOR OMRÅDET",$B$5))</f>
        <v>200</v>
      </c>
      <c r="E38" s="467"/>
    </row>
    <row r="39" spans="1:11" hidden="1" x14ac:dyDescent="0.2">
      <c r="A39" s="466" t="s">
        <v>160</v>
      </c>
      <c r="B39" s="368">
        <v>60</v>
      </c>
      <c r="C39" s="405">
        <v>1080</v>
      </c>
      <c r="D39" s="386">
        <f t="shared" si="0"/>
        <v>200</v>
      </c>
      <c r="E39" s="467"/>
    </row>
    <row r="40" spans="1:11" hidden="1" x14ac:dyDescent="0.2">
      <c r="A40" s="466" t="s">
        <v>159</v>
      </c>
      <c r="B40" s="368">
        <v>86</v>
      </c>
      <c r="C40" s="405">
        <v>1550</v>
      </c>
      <c r="D40" s="386">
        <f t="shared" si="0"/>
        <v>200</v>
      </c>
      <c r="E40" s="467"/>
    </row>
    <row r="41" spans="1:11" hidden="1" x14ac:dyDescent="0.2">
      <c r="A41" s="466" t="s">
        <v>158</v>
      </c>
      <c r="B41" s="368">
        <v>102</v>
      </c>
      <c r="C41" s="405">
        <v>1930</v>
      </c>
      <c r="D41" s="386">
        <f t="shared" si="0"/>
        <v>200</v>
      </c>
      <c r="E41" s="467"/>
    </row>
    <row r="42" spans="1:11" hidden="1" x14ac:dyDescent="0.2">
      <c r="A42" s="466" t="s">
        <v>157</v>
      </c>
      <c r="B42" s="368">
        <v>95</v>
      </c>
      <c r="C42" s="405">
        <v>2000</v>
      </c>
      <c r="D42" s="386">
        <f t="shared" si="0"/>
        <v>200</v>
      </c>
      <c r="E42" s="467"/>
    </row>
    <row r="43" spans="1:11" hidden="1" x14ac:dyDescent="0.2">
      <c r="A43" s="466" t="s">
        <v>156</v>
      </c>
      <c r="B43" s="368">
        <v>137</v>
      </c>
      <c r="C43" s="405">
        <v>2400</v>
      </c>
      <c r="D43" s="386">
        <f t="shared" si="0"/>
        <v>200</v>
      </c>
      <c r="E43" s="467"/>
    </row>
    <row r="44" spans="1:11" hidden="1" x14ac:dyDescent="0.2">
      <c r="A44" s="466" t="s">
        <v>155</v>
      </c>
      <c r="B44" s="368">
        <v>150</v>
      </c>
      <c r="C44" s="405">
        <v>1930</v>
      </c>
      <c r="D44" s="386">
        <f t="shared" si="0"/>
        <v>200</v>
      </c>
      <c r="E44" s="467"/>
    </row>
    <row r="45" spans="1:11" hidden="1" x14ac:dyDescent="0.2">
      <c r="A45" s="466" t="s">
        <v>154</v>
      </c>
      <c r="B45" s="368">
        <v>200</v>
      </c>
      <c r="C45" s="405">
        <v>5000</v>
      </c>
      <c r="D45" s="386">
        <f t="shared" si="0"/>
        <v>200</v>
      </c>
      <c r="E45" s="467"/>
    </row>
    <row r="46" spans="1:11" hidden="1" x14ac:dyDescent="0.2">
      <c r="A46" s="466" t="s">
        <v>153</v>
      </c>
      <c r="B46" s="386">
        <v>719</v>
      </c>
      <c r="C46" s="386">
        <v>7400</v>
      </c>
      <c r="D46" s="386" t="str">
        <f t="shared" si="0"/>
        <v>UDEN FOR OMRÅDET</v>
      </c>
      <c r="E46" s="468"/>
    </row>
    <row r="47" spans="1:11" ht="13.5" hidden="1" thickBot="1" x14ac:dyDescent="0.25">
      <c r="A47" s="469" t="s">
        <v>152</v>
      </c>
      <c r="B47" s="374">
        <v>900</v>
      </c>
      <c r="C47" s="374">
        <v>10350</v>
      </c>
      <c r="D47" s="374" t="str">
        <f t="shared" si="0"/>
        <v>UDEN FOR OMRÅDET</v>
      </c>
      <c r="E47" s="470"/>
    </row>
    <row r="48" spans="1:11" x14ac:dyDescent="0.2">
      <c r="A48" s="199"/>
      <c r="B48" s="199"/>
      <c r="C48" s="199"/>
    </row>
    <row r="51" spans="5:5" x14ac:dyDescent="0.2">
      <c r="E51" s="198"/>
    </row>
  </sheetData>
  <sheetProtection sheet="1" objects="1" scenarios="1"/>
  <mergeCells count="5">
    <mergeCell ref="A1:K1"/>
    <mergeCell ref="A2:K2"/>
    <mergeCell ref="A8:A9"/>
    <mergeCell ref="B8:C8"/>
    <mergeCell ref="D8:F8"/>
  </mergeCells>
  <pageMargins left="0.59055118110236227" right="0.39370078740157483" top="0.98425196850393704" bottom="0.98425196850393704" header="0.51181102362204722" footer="0.51181102362204722"/>
  <pageSetup paperSize="9" scale="105" orientation="landscape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D55AFC-7E98-49D7-A92C-E3E1F6A8F6DB}">
  <dimension ref="A1:M78"/>
  <sheetViews>
    <sheetView showGridLines="0" zoomScaleNormal="100" workbookViewId="0">
      <selection activeCell="K41" sqref="K41"/>
    </sheetView>
  </sheetViews>
  <sheetFormatPr defaultColWidth="8.85546875" defaultRowHeight="12.75" x14ac:dyDescent="0.2"/>
  <cols>
    <col min="1" max="1" width="25.7109375" style="162" customWidth="1"/>
    <col min="2" max="2" width="14.28515625" style="162" customWidth="1"/>
    <col min="3" max="3" width="15.7109375" style="162" customWidth="1"/>
    <col min="4" max="4" width="16.42578125" style="162" customWidth="1"/>
    <col min="5" max="5" width="15.7109375" style="162" customWidth="1"/>
    <col min="6" max="7" width="10.7109375" style="162" customWidth="1"/>
    <col min="8" max="8" width="7.140625" style="162" customWidth="1"/>
    <col min="9" max="9" width="10.7109375" style="162" customWidth="1"/>
    <col min="10" max="10" width="20.42578125" style="162" bestFit="1" customWidth="1"/>
    <col min="11" max="13" width="8.85546875" style="162"/>
    <col min="14" max="15" width="20.28515625" style="162" bestFit="1" customWidth="1"/>
    <col min="16" max="16384" width="8.85546875" style="162"/>
  </cols>
  <sheetData>
    <row r="1" spans="1:11" ht="21" thickTop="1" x14ac:dyDescent="0.3">
      <c r="A1" s="495" t="s">
        <v>565</v>
      </c>
      <c r="B1" s="496"/>
      <c r="C1" s="496"/>
      <c r="D1" s="496"/>
      <c r="E1" s="496"/>
      <c r="F1" s="496"/>
      <c r="G1" s="496"/>
      <c r="H1" s="496"/>
      <c r="I1" s="496"/>
      <c r="J1" s="497"/>
      <c r="K1" s="190"/>
    </row>
    <row r="2" spans="1:11" ht="21" thickBot="1" x14ac:dyDescent="0.35">
      <c r="A2" s="498" t="s">
        <v>566</v>
      </c>
      <c r="B2" s="499"/>
      <c r="C2" s="499"/>
      <c r="D2" s="499"/>
      <c r="E2" s="499"/>
      <c r="F2" s="499"/>
      <c r="G2" s="499"/>
      <c r="H2" s="499"/>
      <c r="I2" s="499"/>
      <c r="J2" s="500"/>
      <c r="K2" s="190"/>
    </row>
    <row r="3" spans="1:11" ht="13.5" thickTop="1" x14ac:dyDescent="0.2">
      <c r="A3" s="189"/>
      <c r="B3" s="188"/>
      <c r="C3" s="188"/>
      <c r="D3" s="187"/>
      <c r="E3" s="187"/>
      <c r="F3" s="187"/>
      <c r="G3" s="187"/>
      <c r="H3" s="187"/>
      <c r="I3" s="187"/>
      <c r="J3" s="186"/>
    </row>
    <row r="4" spans="1:11" ht="13.5" thickBot="1" x14ac:dyDescent="0.25">
      <c r="A4" s="176"/>
      <c r="B4" s="372" t="s">
        <v>1</v>
      </c>
      <c r="D4" s="183"/>
      <c r="J4" s="174"/>
    </row>
    <row r="5" spans="1:11" ht="13.5" thickBot="1" x14ac:dyDescent="0.25">
      <c r="A5" s="7" t="s">
        <v>139</v>
      </c>
      <c r="B5" s="185">
        <v>90</v>
      </c>
      <c r="C5" s="184" t="s">
        <v>138</v>
      </c>
      <c r="D5" s="183"/>
      <c r="G5" s="183"/>
      <c r="J5" s="174"/>
    </row>
    <row r="6" spans="1:11" x14ac:dyDescent="0.2">
      <c r="A6" s="176"/>
      <c r="G6" s="183"/>
      <c r="J6" s="174"/>
    </row>
    <row r="7" spans="1:11" ht="13.5" thickBot="1" x14ac:dyDescent="0.25">
      <c r="A7" s="176"/>
      <c r="J7" s="174"/>
    </row>
    <row r="8" spans="1:11" ht="13.5" thickTop="1" x14ac:dyDescent="0.2">
      <c r="A8" s="505" t="s">
        <v>567</v>
      </c>
      <c r="B8" s="503" t="s">
        <v>136</v>
      </c>
      <c r="C8" s="503"/>
      <c r="D8" s="503" t="s">
        <v>135</v>
      </c>
      <c r="E8" s="504"/>
      <c r="J8" s="174"/>
    </row>
    <row r="9" spans="1:11" x14ac:dyDescent="0.2">
      <c r="A9" s="506"/>
      <c r="B9" s="435" t="s">
        <v>134</v>
      </c>
      <c r="C9" s="435" t="s">
        <v>133</v>
      </c>
      <c r="D9" s="448" t="s">
        <v>132</v>
      </c>
      <c r="E9" s="450" t="s">
        <v>131</v>
      </c>
      <c r="J9" s="174"/>
    </row>
    <row r="10" spans="1:11" x14ac:dyDescent="0.2">
      <c r="A10" s="471" t="s">
        <v>568</v>
      </c>
      <c r="B10" s="435" t="s">
        <v>569</v>
      </c>
      <c r="C10" s="435" t="s">
        <v>196</v>
      </c>
      <c r="D10" s="472" t="str">
        <f>IF(D51="UDEN FOR OMRÅDET","NOT POSSIBLE",(-0.0000663377*B5^4+0.0026983179*B5^3-0.0548455003*B5^2+0.7520584843*B5-0.3425667215))</f>
        <v>NOT POSSIBLE</v>
      </c>
      <c r="E10" s="473" t="str">
        <f>IF(D51="UDEN FOR OMRÅDET","NOT POSSIBLE",IF($B$5&lt;1.4,10,((((-0.5707282913*D10^4+5.3739495798*D10^3-14.4754901961*D10^2+16.3697478992*D10+4.3025210084))))))</f>
        <v>NOT POSSIBLE</v>
      </c>
      <c r="J10" s="174"/>
    </row>
    <row r="11" spans="1:11" x14ac:dyDescent="0.2">
      <c r="A11" s="474" t="s">
        <v>570</v>
      </c>
      <c r="B11" s="475" t="s">
        <v>215</v>
      </c>
      <c r="C11" s="475" t="s">
        <v>214</v>
      </c>
      <c r="D11" s="472" t="str">
        <f>IF(D52="UDEN FOR OMRÅDET","NOT POSSIBLE",(-0.0007*B5^3+0.0111*B5^2+0.2671*B5-0.1437))</f>
        <v>NOT POSSIBLE</v>
      </c>
      <c r="E11" s="473" t="str">
        <f>IF(D52="UDEN FOR OMRÅDET","NOT POSSIBLE",IF($B$5&lt;3.9,6.5,((((0.25*D11^3-0.25*D11^2+0.5*D11+6))))))</f>
        <v>NOT POSSIBLE</v>
      </c>
      <c r="J11" s="174"/>
    </row>
    <row r="12" spans="1:11" x14ac:dyDescent="0.2">
      <c r="A12" s="471" t="s">
        <v>571</v>
      </c>
      <c r="B12" s="476" t="s">
        <v>213</v>
      </c>
      <c r="C12" s="476" t="s">
        <v>130</v>
      </c>
      <c r="D12" s="472" t="str">
        <f>IF(D53="UDEN FOR OMRÅDET","NOT POSSIBLE",(-0.000159*B5^3+0.004239*B5^2+0.159774*B5-0.099711))</f>
        <v>NOT POSSIBLE</v>
      </c>
      <c r="E12" s="473" t="str">
        <f>IF(D53="UDEN FOR OMRÅDET","NOT POSSIBLE",IF($B$5&lt;6.2,19,((((0.6667*D12^3-0.5*D12^2-1.1667*D12+20))))))</f>
        <v>NOT POSSIBLE</v>
      </c>
      <c r="J12" s="174"/>
    </row>
    <row r="13" spans="1:11" x14ac:dyDescent="0.2">
      <c r="A13" s="474" t="s">
        <v>572</v>
      </c>
      <c r="B13" s="475" t="s">
        <v>215</v>
      </c>
      <c r="C13" s="475" t="s">
        <v>214</v>
      </c>
      <c r="D13" s="472" t="str">
        <f>IF(D54="UDEN FOR OMRÅDET","NOT POSSIBLE",(-0.0007*B5^3+0.0111*B5^2+0.2671*B5-0.1437))</f>
        <v>NOT POSSIBLE</v>
      </c>
      <c r="E13" s="473" t="str">
        <f>IF(D54="UDEN FOR OMRÅDET","NOT POSSIBLE",IF($B$5&lt;3.9,6.5,((((0.25*D13^3-0.25*D13^2+0.5*D13+6))))))</f>
        <v>NOT POSSIBLE</v>
      </c>
      <c r="J13" s="174"/>
    </row>
    <row r="14" spans="1:11" x14ac:dyDescent="0.2">
      <c r="A14" s="471" t="s">
        <v>573</v>
      </c>
      <c r="B14" s="476" t="s">
        <v>574</v>
      </c>
      <c r="C14" s="476" t="s">
        <v>130</v>
      </c>
      <c r="D14" s="472" t="str">
        <f>IF(D55="UDEN FOR OMRÅDET","NOT POSSIBLE",(0.0000312913*B5^4-0.0019202452*B5^3+0.0379747979*B5^2-0.0888173183*B5+0.4303082031))</f>
        <v>NOT POSSIBLE</v>
      </c>
      <c r="E14" s="473" t="str">
        <f>IF(D55="UDEN FOR OMRÅDET","NOT POSSIBLE",IF($B$5&lt;11.2,19,((((7.5*D14^2-33.5*D14+57))))))</f>
        <v>NOT POSSIBLE</v>
      </c>
      <c r="J14" s="174"/>
    </row>
    <row r="15" spans="1:11" x14ac:dyDescent="0.2">
      <c r="A15" s="474" t="s">
        <v>575</v>
      </c>
      <c r="B15" s="475" t="s">
        <v>212</v>
      </c>
      <c r="C15" s="475" t="s">
        <v>190</v>
      </c>
      <c r="D15" s="472" t="str">
        <f>IF(D56="UDEN FOR OMRÅDET","NOT POSSIBLE",(-0.000124*B5^3+0.002487*B5^2+0.185365*B5-0.283831))</f>
        <v>NOT POSSIBLE</v>
      </c>
      <c r="E15" s="473" t="str">
        <f>IF(D56="UDEN FOR OMRÅDET","NOT POSSIBLE",IF($B$5&lt;6.6,15,((((0.6667*D15^3-4.5*D15^2+11.833*D15+7))))))</f>
        <v>NOT POSSIBLE</v>
      </c>
      <c r="J15" s="174"/>
    </row>
    <row r="16" spans="1:11" x14ac:dyDescent="0.2">
      <c r="A16" s="471" t="s">
        <v>576</v>
      </c>
      <c r="B16" s="476" t="s">
        <v>211</v>
      </c>
      <c r="C16" s="476" t="s">
        <v>128</v>
      </c>
      <c r="D16" s="472" t="str">
        <f>IF(D57="UDEN FOR OMRÅDET","NOT POSSIBLE",(0.00000407*B5^4-0.00036799*B5^3+0.01016138*B5^2+0.03167768*B5+0.12121138))</f>
        <v>NOT POSSIBLE</v>
      </c>
      <c r="E16" s="473" t="str">
        <f>IF(D57="UDEN FOR OMRÅDET","NOT POSSIBLE",IF($B$5&lt;9.1,30,((((2.6667*D16^3-15.5*D16^2+29.833*D16+13))))))</f>
        <v>NOT POSSIBLE</v>
      </c>
      <c r="J16" s="174"/>
    </row>
    <row r="17" spans="1:10" x14ac:dyDescent="0.2">
      <c r="A17" s="474" t="s">
        <v>577</v>
      </c>
      <c r="B17" s="475" t="s">
        <v>212</v>
      </c>
      <c r="C17" s="475" t="s">
        <v>190</v>
      </c>
      <c r="D17" s="472" t="str">
        <f>IF(D58="UDEN FOR OMRÅDET","NOT POSSIBLE",(-0.000124*B5^3+0.002487*B5^2+0.185365*B5-0.283831))</f>
        <v>NOT POSSIBLE</v>
      </c>
      <c r="E17" s="473" t="str">
        <f>IF(D58="UDEN FOR OMRÅDET","NOT POSSIBLE",IF($B$5&lt;6.6,15,((((0.6667*D17^3-4.5*D17^2+11.833*D17+7))))))</f>
        <v>NOT POSSIBLE</v>
      </c>
      <c r="J17" s="174"/>
    </row>
    <row r="18" spans="1:10" x14ac:dyDescent="0.2">
      <c r="A18" s="471" t="s">
        <v>578</v>
      </c>
      <c r="B18" s="476" t="s">
        <v>211</v>
      </c>
      <c r="C18" s="476" t="s">
        <v>128</v>
      </c>
      <c r="D18" s="472" t="str">
        <f>IF(D59="UDEN FOR OMRÅDET","NOT POSSIBLE",(0.00000407*B5^4-0.00036799*B5^3+0.01016138*B5^2+0.03167768*B5+0.12121138))</f>
        <v>NOT POSSIBLE</v>
      </c>
      <c r="E18" s="473" t="str">
        <f>IF(D59="UDEN FOR OMRÅDET","NOT POSSIBLE",IF($B$5&lt;9.1,30,((((2.6667*D18^3-15.5*D18^2+29.833*D18+13))))))</f>
        <v>NOT POSSIBLE</v>
      </c>
      <c r="J18" s="174"/>
    </row>
    <row r="19" spans="1:10" x14ac:dyDescent="0.2">
      <c r="A19" s="474" t="s">
        <v>579</v>
      </c>
      <c r="B19" s="475" t="s">
        <v>210</v>
      </c>
      <c r="C19" s="475" t="s">
        <v>204</v>
      </c>
      <c r="D19" s="472" t="str">
        <f>IF(D60="UDEN FOR OMRÅDET","NOT POSSIBLE",(-0.000044*B5^3+0.000728*B5^2+0.150689*B5-0.254301))</f>
        <v>NOT POSSIBLE</v>
      </c>
      <c r="E19" s="473" t="str">
        <f>IF(D60="UDEN FOR OMRÅDET","NOT POSSIBLE",IF($B$5&lt;8.3,16,((((0.5*D19^3-3*D19^2+7.5*D19+11))))))</f>
        <v>NOT POSSIBLE</v>
      </c>
      <c r="J19" s="174"/>
    </row>
    <row r="20" spans="1:10" x14ac:dyDescent="0.2">
      <c r="A20" s="471" t="s">
        <v>580</v>
      </c>
      <c r="B20" s="476" t="s">
        <v>209</v>
      </c>
      <c r="C20" s="476" t="s">
        <v>129</v>
      </c>
      <c r="D20" s="472" t="str">
        <f>IF(D61="UDEN FOR OMRÅDET","NOT POSSIBLE",(0.00000156*B5^4-0.0001838*B5^3+0.00652234*B5^2+0.0239868*B5+0.17174038))</f>
        <v>NOT POSSIBLE</v>
      </c>
      <c r="E20" s="473" t="str">
        <f>IF(D61="UDEN FOR OMRÅDET","NOT POSSIBLE",IF($B$5&lt;11,23,((((1.8245614*D20^3-9.20300752*D20^2+16.72431078*D20+13.67293233))))))</f>
        <v>NOT POSSIBLE</v>
      </c>
      <c r="J20" s="174"/>
    </row>
    <row r="21" spans="1:10" x14ac:dyDescent="0.2">
      <c r="A21" s="474" t="s">
        <v>581</v>
      </c>
      <c r="B21" s="475" t="s">
        <v>210</v>
      </c>
      <c r="C21" s="475" t="s">
        <v>204</v>
      </c>
      <c r="D21" s="472" t="str">
        <f>IF(D62="UDEN FOR OMRÅDET","NOT POSSIBLE",(-0.000044*B5^3+0.000728*B5^2+0.150689*B5-0.254301))</f>
        <v>NOT POSSIBLE</v>
      </c>
      <c r="E21" s="473" t="str">
        <f>IF(D62="UDEN FOR OMRÅDET","NOT POSSIBLE",IF($B$5&lt;8.3,16,((((0.5*D21^3-3*D21^2+7.5*D21+11))))))</f>
        <v>NOT POSSIBLE</v>
      </c>
      <c r="J21" s="174"/>
    </row>
    <row r="22" spans="1:10" x14ac:dyDescent="0.2">
      <c r="A22" s="471" t="s">
        <v>582</v>
      </c>
      <c r="B22" s="476" t="s">
        <v>209</v>
      </c>
      <c r="C22" s="476" t="s">
        <v>129</v>
      </c>
      <c r="D22" s="472" t="str">
        <f>IF(D63="UDEN FOR OMRÅDET","NOT POSSIBLE",(0.00000156*B5^4-0.0001838*B5^3+0.00652234*B5^2+0.0239868*B5+0.17174038))</f>
        <v>NOT POSSIBLE</v>
      </c>
      <c r="E22" s="473" t="str">
        <f>IF(D63="UDEN FOR OMRÅDET","NOT POSSIBLE",IF($B$5&lt;11,23,((((1.8245614*D22^3-9.20300752*D22^2+16.72431078*D22+13.67293233))))))</f>
        <v>NOT POSSIBLE</v>
      </c>
      <c r="J22" s="174"/>
    </row>
    <row r="23" spans="1:10" x14ac:dyDescent="0.2">
      <c r="A23" s="474" t="s">
        <v>583</v>
      </c>
      <c r="B23" s="475" t="s">
        <v>208</v>
      </c>
      <c r="C23" s="475" t="s">
        <v>207</v>
      </c>
      <c r="D23" s="472" t="str">
        <f>IF(D64="UDEN FOR OMRÅDET","NOT POSSIBLE",(0.0000006139*B5^4-0.000106561*B5^3+0.0058288674*B5^2-0.0444580014*B5+0.4579242305))</f>
        <v>NOT POSSIBLE</v>
      </c>
      <c r="E23" s="473" t="str">
        <f>IF(D64="UDEN FOR OMRÅDET","NOT POSSIBLE",IF($B$5&lt;8.3,16,((((0.0000690761*B5^3-0.0045265849*B5^2+0.2633541895*B5+16.2995714859))))))</f>
        <v>NOT POSSIBLE</v>
      </c>
      <c r="J23" s="174"/>
    </row>
    <row r="24" spans="1:10" x14ac:dyDescent="0.2">
      <c r="A24" s="471" t="s">
        <v>584</v>
      </c>
      <c r="B24" s="476" t="s">
        <v>206</v>
      </c>
      <c r="C24" s="476" t="s">
        <v>128</v>
      </c>
      <c r="D24" s="472">
        <f>IF(D65="UDEN FOR OMRÅDET","NOT POSSIBLE",(0.0000002014*B5^4-0.0000448209*B5^3+0.0030842417*B5^2-0.0208500823*B5+0.3651879533))</f>
        <v>4.0104562162999962</v>
      </c>
      <c r="E24" s="473">
        <f>IF(D65="UDEN FOR OMRÅDET","NOT POSSIBLE",IF($B$5&lt;8.3,16,((((0.0000124414*B5^3+0.0047437114*B5^2+0.0004843365*B5+27.4237821061))))))</f>
        <v>74.961215331100007</v>
      </c>
      <c r="J24" s="174"/>
    </row>
    <row r="25" spans="1:10" x14ac:dyDescent="0.2">
      <c r="A25" s="474" t="s">
        <v>585</v>
      </c>
      <c r="B25" s="475" t="s">
        <v>208</v>
      </c>
      <c r="C25" s="475" t="s">
        <v>207</v>
      </c>
      <c r="D25" s="472" t="str">
        <f>IF(D66="UDEN FOR OMRÅDET","NOT POSSIBLE",(0.0000006139*B5^4-0.000106561*B5^3+0.0058288674*B5^2-0.0444580014*B5+0.4579242305))</f>
        <v>NOT POSSIBLE</v>
      </c>
      <c r="E25" s="473" t="str">
        <f>IF(D66="UDEN FOR OMRÅDET","NOT POSSIBLE",IF($B$5&lt;8.3,16,((((0.0000690761*B5^3-0.0045265849*B5^2+0.2633541895*B5+16.2995714859))))))</f>
        <v>NOT POSSIBLE</v>
      </c>
      <c r="J25" s="174"/>
    </row>
    <row r="26" spans="1:10" x14ac:dyDescent="0.2">
      <c r="A26" s="471" t="s">
        <v>586</v>
      </c>
      <c r="B26" s="476" t="s">
        <v>206</v>
      </c>
      <c r="C26" s="476" t="s">
        <v>128</v>
      </c>
      <c r="D26" s="472">
        <f>IF(D67="UDEN FOR OMRÅDET","NOT POSSIBLE",(0.0000002014*B5^4-0.0000448209*B5^3+0.0030842417*B5^2-0.0208500823*B5+0.3651879533))</f>
        <v>4.0104562162999962</v>
      </c>
      <c r="E26" s="473">
        <f>IF(D67="UDEN FOR OMRÅDET","NOT POSSIBLE",IF($B$5&lt;8.3,16,((((0.0000124414*B5^3+0.0047437114*B5^2+0.0004843365*B5+27.4237821061))))))</f>
        <v>74.961215331100007</v>
      </c>
      <c r="J26" s="174"/>
    </row>
    <row r="27" spans="1:10" x14ac:dyDescent="0.2">
      <c r="A27" s="474" t="s">
        <v>587</v>
      </c>
      <c r="B27" s="475" t="s">
        <v>205</v>
      </c>
      <c r="C27" s="475" t="s">
        <v>204</v>
      </c>
      <c r="D27" s="472">
        <f>IF(D68="UDEN FOR OMRÅDET","NOT POSSIBLE",(-0.0000024*B5^3+0.00033459*B5^2+0.02873223*B5-0.03574711))</f>
        <v>3.5107325900000008</v>
      </c>
      <c r="E27" s="473">
        <f>IF(D68="UDEN FOR OMRÅDET","NOT POSSIBLE",IF($B$5&lt;28.5,16,((((0.00004639*B5^3-0.00631449*B5^2+0.36332191*B5+9.70047171))))))</f>
        <v>25.070384610000012</v>
      </c>
      <c r="J27" s="174"/>
    </row>
    <row r="28" spans="1:10" x14ac:dyDescent="0.2">
      <c r="A28" s="471" t="s">
        <v>588</v>
      </c>
      <c r="B28" s="476" t="s">
        <v>203</v>
      </c>
      <c r="C28" s="476" t="s">
        <v>202</v>
      </c>
      <c r="D28" s="472">
        <f>IF(D69="UDEN FOR OMRÅDET","NOT POSSIBLE",(0.0000000087*B5^4-0.0000042912*B5^3+0.000602127*B5^2+0.0030265472*B5+0.2709223762))</f>
        <v>2.863062524200001</v>
      </c>
      <c r="E28" s="473">
        <f>IF(D69="UDEN FOR OMRÅDET","NOT POSSIBLE",IF($B$5&lt;36.5,27,((((0.00003815*B5^3-0.00623625*B5^2+0.39933964*B5+18.87714266))))))</f>
        <v>32.115435260000005</v>
      </c>
      <c r="J28" s="174"/>
    </row>
    <row r="29" spans="1:10" x14ac:dyDescent="0.2">
      <c r="A29" s="474" t="s">
        <v>589</v>
      </c>
      <c r="B29" s="475" t="s">
        <v>201</v>
      </c>
      <c r="C29" s="475" t="s">
        <v>200</v>
      </c>
      <c r="D29" s="472">
        <f>IF(D70="UDEN FOR OMRÅDET","NOT POSSIBLE",(0.0000000079*B5^4-0.0000031427*B5^3+0.0003781874*B5^2+0.0139576939*B5+0.0433215217))</f>
        <v>2.5901226127000001</v>
      </c>
      <c r="E29" s="473">
        <f>IF(D70="UDEN FOR OMRÅDET","NOT POSSIBLE",IF($B$5&lt;70.4,21,((((-1.6666666667*D29^3+13.5*D29^2-27.8333333333*D29+37))))))</f>
        <v>26.515434102469321</v>
      </c>
      <c r="J29" s="174"/>
    </row>
    <row r="30" spans="1:10" x14ac:dyDescent="0.2">
      <c r="A30" s="471" t="s">
        <v>590</v>
      </c>
      <c r="B30" s="476" t="s">
        <v>199</v>
      </c>
      <c r="C30" s="476" t="s">
        <v>198</v>
      </c>
      <c r="D30" s="472">
        <f>IF(D71="UDEN FOR OMRÅDET","NOT POSSIBLE",(0.000000004262661*B5^4-0.000002203935325*B5^3+0.000349196460344*B5^2+0.003639383225018*B5+0.193846671691572))</f>
        <v>2.0228868270145921</v>
      </c>
      <c r="E30" s="473">
        <f>IF(D71="UDEN FOR OMRÅDET","NOT POSSIBLE",IF($B$5&lt;89,33,((((-0.6666666667*D30^3+9.5*D30^2-22.8333333333*D30+47))))))</f>
        <v>34.166895205557601</v>
      </c>
      <c r="J30" s="174"/>
    </row>
    <row r="31" spans="1:10" x14ac:dyDescent="0.2">
      <c r="A31" s="474" t="s">
        <v>591</v>
      </c>
      <c r="B31" s="475" t="s">
        <v>197</v>
      </c>
      <c r="C31" s="475" t="s">
        <v>196</v>
      </c>
      <c r="D31" s="472" t="str">
        <f>IF(D72="UDEN FOR OMRÅDET","NOT POSSIBLE",(-0.000000006659004*B5^4+0.000004735461176*B5^3-0.001276874830972*B5^2+0.177325762767072*B5-7.83507332221808))</f>
        <v>NOT POSSIBLE</v>
      </c>
      <c r="E31" s="473" t="str">
        <f>IF(D72="UDEN FOR OMRÅDET","NOT POSSIBLE",IF($B$5&lt;70.4,21,((((-0.5*D31^3+4.49999999999909*D31^2-4.99999999999727*D31+11.999999999996))))))</f>
        <v>NOT POSSIBLE</v>
      </c>
      <c r="J31" s="174"/>
    </row>
    <row r="32" spans="1:10" x14ac:dyDescent="0.2">
      <c r="A32" s="471" t="s">
        <v>592</v>
      </c>
      <c r="B32" s="476" t="s">
        <v>195</v>
      </c>
      <c r="C32" s="476" t="s">
        <v>194</v>
      </c>
      <c r="D32" s="472" t="str">
        <f>IF(D73="UDEN FOR OMRÅDET","NOT POSSIBLE",(-0.000000000611426*B5^4+0.000000656353947*B5^3-0.000284996728231*B5^2+0.074287325446848*B5-5.10628086784494))</f>
        <v>NOT POSSIBLE</v>
      </c>
      <c r="E32" s="473" t="str">
        <f>IF(D73="UDEN FOR OMRÅDET","NOT POSSIBLE",IF($B$5&lt;89,33,((((-2.16666666666652*D32^3+17.9999999999977*D32^2-28.8333333333271*D32+43.9999999999905))))))</f>
        <v>NOT POSSIBLE</v>
      </c>
      <c r="J32" s="174"/>
    </row>
    <row r="33" spans="1:13" x14ac:dyDescent="0.2">
      <c r="A33" s="474" t="s">
        <v>593</v>
      </c>
      <c r="B33" s="475" t="s">
        <v>193</v>
      </c>
      <c r="C33" s="475" t="s">
        <v>192</v>
      </c>
      <c r="D33" s="472" t="str">
        <f>IF(D74="UDEN FOR OMRÅDET","NOT POSSIBLE",(-2.52847125E-12*B5^5+4.68657669347E-09*B5^4-3.38486827279208E-06*B5^3+0.00116642754838534*B5^2-0.177120541975483*B5+10.2818610440989))</f>
        <v>NOT POSSIBLE</v>
      </c>
      <c r="E33" s="473" t="str">
        <f>IF(D74="UDEN FOR OMRÅDET","NOT POSSIBLE",IF($B$5&lt;70.4,21,((((-0.833333*D33^3+7.5*D33^2-11.666667*D33+15))))))</f>
        <v>NOT POSSIBLE</v>
      </c>
      <c r="J33" s="174"/>
    </row>
    <row r="34" spans="1:13" x14ac:dyDescent="0.2">
      <c r="A34" s="471" t="s">
        <v>594</v>
      </c>
      <c r="B34" s="476" t="s">
        <v>191</v>
      </c>
      <c r="C34" s="476" t="s">
        <v>190</v>
      </c>
      <c r="D34" s="472" t="str">
        <f>IF(D75="UDEN FOR OMRÅDET","NOT POSSIBLE",(8.5275752E-13*B5^5-1.96247855196E-09*B5^4+1.79855952093491E-06*B5^3-0.000825168971576492*B5^2+0.197731076146651*B5-18.0380359494749
))</f>
        <v>NOT POSSIBLE</v>
      </c>
      <c r="E34" s="473" t="str">
        <f>IF(D75="UDEN FOR OMRÅDET","NOT POSSIBLE",IF($B$5&lt;89,33,((((-0.833333*D34^3+10*D34^2-14.166667*D34+20))))))</f>
        <v>NOT POSSIBLE</v>
      </c>
      <c r="J34" s="174"/>
    </row>
    <row r="35" spans="1:13" x14ac:dyDescent="0.2">
      <c r="A35" s="474" t="s">
        <v>595</v>
      </c>
      <c r="B35" s="475" t="s">
        <v>193</v>
      </c>
      <c r="C35" s="475" t="s">
        <v>192</v>
      </c>
      <c r="D35" s="472" t="str">
        <f>IF(D76="UDEN FOR OMRÅDET","NOT POSSIBLE",(-2.52847125E-12*B5^5+4.68657669347E-09*B5^4-3.38486827279208E-06*B5^3+0.00116642754838534*B5^2-0.177120541975483*B5+10.2818610440989))</f>
        <v>NOT POSSIBLE</v>
      </c>
      <c r="E35" s="473" t="str">
        <f>IF(D76="UDEN FOR OMRÅDET","NOT POSSIBLE",IF($B$5&lt;70.4,21,((((-0.833333*D35^3+7.5*D35^2-11.666667*D35+15))))))</f>
        <v>NOT POSSIBLE</v>
      </c>
      <c r="J35" s="174"/>
    </row>
    <row r="36" spans="1:13" ht="13.5" thickBot="1" x14ac:dyDescent="0.25">
      <c r="A36" s="477" t="s">
        <v>596</v>
      </c>
      <c r="B36" s="478" t="s">
        <v>191</v>
      </c>
      <c r="C36" s="478" t="s">
        <v>190</v>
      </c>
      <c r="D36" s="479" t="str">
        <f>IF(D77="UDEN FOR OMRÅDET","NOT POSSIBLE",(8.5275752E-13*B5^5-1.96247855196E-09*B5^4+1.79855952093491E-06*B5^3-0.000825168971576492*B5^2+0.197731076146651*B5-18.0380359494749
))</f>
        <v>NOT POSSIBLE</v>
      </c>
      <c r="E36" s="480" t="str">
        <f>IF(D77="UDEN FOR OMRÅDET","NOT POSSIBLE",IF($B$5&lt;89,33,((((-0.833333*D36^3+10*D36^2-14.166667*D36+20))))))</f>
        <v>NOT POSSIBLE</v>
      </c>
      <c r="J36" s="174"/>
    </row>
    <row r="37" spans="1:13" ht="13.5" thickTop="1" x14ac:dyDescent="0.2">
      <c r="A37" s="176"/>
      <c r="J37" s="174"/>
    </row>
    <row r="38" spans="1:13" x14ac:dyDescent="0.2">
      <c r="A38" s="176"/>
      <c r="J38" s="174"/>
    </row>
    <row r="39" spans="1:13" x14ac:dyDescent="0.2">
      <c r="A39" s="176"/>
      <c r="J39" s="174"/>
    </row>
    <row r="40" spans="1:13" x14ac:dyDescent="0.2">
      <c r="A40" s="176"/>
      <c r="J40" s="174"/>
    </row>
    <row r="41" spans="1:13" x14ac:dyDescent="0.2">
      <c r="A41" s="176"/>
      <c r="J41" s="174"/>
    </row>
    <row r="42" spans="1:13" x14ac:dyDescent="0.2">
      <c r="A42" s="176"/>
      <c r="J42" s="174"/>
    </row>
    <row r="43" spans="1:13" x14ac:dyDescent="0.2">
      <c r="A43" s="176"/>
      <c r="J43" s="174"/>
    </row>
    <row r="44" spans="1:13" x14ac:dyDescent="0.2">
      <c r="A44" s="176"/>
      <c r="J44" s="174"/>
    </row>
    <row r="45" spans="1:13" x14ac:dyDescent="0.2">
      <c r="A45" s="176"/>
      <c r="E45" s="175"/>
      <c r="J45" s="174"/>
    </row>
    <row r="46" spans="1:13" ht="13.5" thickBot="1" x14ac:dyDescent="0.25">
      <c r="A46" s="173" t="s">
        <v>127</v>
      </c>
      <c r="B46" s="481"/>
      <c r="C46" s="481"/>
      <c r="D46" s="481"/>
      <c r="E46" s="481"/>
      <c r="F46" s="481"/>
      <c r="G46" s="481"/>
      <c r="H46" s="481"/>
      <c r="I46" s="481"/>
      <c r="J46" s="171"/>
    </row>
    <row r="47" spans="1:13" ht="10.5" customHeight="1" thickTop="1" x14ac:dyDescent="0.2"/>
    <row r="48" spans="1:13" x14ac:dyDescent="0.2">
      <c r="L48" s="170"/>
      <c r="M48" s="170"/>
    </row>
    <row r="49" spans="1:4" hidden="1" x14ac:dyDescent="0.2"/>
    <row r="50" spans="1:4" ht="13.5" hidden="1" thickTop="1" x14ac:dyDescent="0.2">
      <c r="A50" s="169" t="s">
        <v>126</v>
      </c>
      <c r="B50" s="168" t="s">
        <v>0</v>
      </c>
      <c r="C50" s="168" t="s">
        <v>125</v>
      </c>
      <c r="D50" s="167" t="s">
        <v>124</v>
      </c>
    </row>
    <row r="51" spans="1:4" hidden="1" x14ac:dyDescent="0.2">
      <c r="A51" s="366" t="s">
        <v>568</v>
      </c>
      <c r="B51" s="195">
        <v>1.4</v>
      </c>
      <c r="C51" s="195">
        <v>11.5</v>
      </c>
      <c r="D51" s="482" t="str">
        <f t="shared" ref="D51:D77" si="0">IF($B$5&lt;=B51-0.001,"UDEN FOR OMRÅDET",IF($B$5&gt;=C51+0.1,"UDEN FOR OMRÅDET",$B$5))</f>
        <v>UDEN FOR OMRÅDET</v>
      </c>
    </row>
    <row r="52" spans="1:4" hidden="1" x14ac:dyDescent="0.2">
      <c r="A52" s="209" t="s">
        <v>570</v>
      </c>
      <c r="B52" s="483">
        <v>2.48</v>
      </c>
      <c r="C52" s="484">
        <v>15</v>
      </c>
      <c r="D52" s="482" t="str">
        <f t="shared" si="0"/>
        <v>UDEN FOR OMRÅDET</v>
      </c>
    </row>
    <row r="53" spans="1:4" hidden="1" x14ac:dyDescent="0.2">
      <c r="A53" s="485" t="s">
        <v>571</v>
      </c>
      <c r="B53" s="483">
        <v>3.92</v>
      </c>
      <c r="C53" s="484">
        <v>24</v>
      </c>
      <c r="D53" s="482" t="str">
        <f t="shared" si="0"/>
        <v>UDEN FOR OMRÅDET</v>
      </c>
    </row>
    <row r="54" spans="1:4" hidden="1" x14ac:dyDescent="0.2">
      <c r="A54" s="209" t="s">
        <v>572</v>
      </c>
      <c r="B54" s="483">
        <v>2.48</v>
      </c>
      <c r="C54" s="484">
        <v>15</v>
      </c>
      <c r="D54" s="482" t="str">
        <f t="shared" si="0"/>
        <v>UDEN FOR OMRÅDET</v>
      </c>
    </row>
    <row r="55" spans="1:4" hidden="1" x14ac:dyDescent="0.2">
      <c r="A55" s="485" t="s">
        <v>573</v>
      </c>
      <c r="B55" s="483">
        <v>4.2</v>
      </c>
      <c r="C55" s="484">
        <v>24</v>
      </c>
      <c r="D55" s="482" t="str">
        <f t="shared" si="0"/>
        <v>UDEN FOR OMRÅDET</v>
      </c>
    </row>
    <row r="56" spans="1:4" hidden="1" x14ac:dyDescent="0.2">
      <c r="A56" s="486" t="s">
        <v>575</v>
      </c>
      <c r="B56" s="483">
        <v>4.38</v>
      </c>
      <c r="C56" s="484">
        <v>25</v>
      </c>
      <c r="D56" s="482" t="str">
        <f t="shared" si="0"/>
        <v>UDEN FOR OMRÅDET</v>
      </c>
    </row>
    <row r="57" spans="1:4" hidden="1" x14ac:dyDescent="0.2">
      <c r="A57" s="485" t="s">
        <v>576</v>
      </c>
      <c r="B57" s="483">
        <v>5.95</v>
      </c>
      <c r="C57" s="484">
        <v>35</v>
      </c>
      <c r="D57" s="482" t="str">
        <f t="shared" si="0"/>
        <v>UDEN FOR OMRÅDET</v>
      </c>
    </row>
    <row r="58" spans="1:4" hidden="1" x14ac:dyDescent="0.2">
      <c r="A58" s="209" t="s">
        <v>577</v>
      </c>
      <c r="B58" s="483">
        <v>4.38</v>
      </c>
      <c r="C58" s="484">
        <v>25</v>
      </c>
      <c r="D58" s="482" t="str">
        <f t="shared" si="0"/>
        <v>UDEN FOR OMRÅDET</v>
      </c>
    </row>
    <row r="59" spans="1:4" hidden="1" x14ac:dyDescent="0.2">
      <c r="A59" s="485" t="s">
        <v>578</v>
      </c>
      <c r="B59" s="483">
        <v>5.95</v>
      </c>
      <c r="C59" s="484">
        <v>35</v>
      </c>
      <c r="D59" s="482" t="str">
        <f t="shared" si="0"/>
        <v>UDEN FOR OMRÅDET</v>
      </c>
    </row>
    <row r="60" spans="1:4" hidden="1" x14ac:dyDescent="0.2">
      <c r="A60" s="486" t="s">
        <v>579</v>
      </c>
      <c r="B60" s="483">
        <v>5.3</v>
      </c>
      <c r="C60" s="484">
        <v>34</v>
      </c>
      <c r="D60" s="482" t="str">
        <f t="shared" si="0"/>
        <v>UDEN FOR OMRÅDET</v>
      </c>
    </row>
    <row r="61" spans="1:4" hidden="1" x14ac:dyDescent="0.2">
      <c r="A61" s="485" t="s">
        <v>580</v>
      </c>
      <c r="B61" s="483">
        <v>7</v>
      </c>
      <c r="C61" s="484">
        <v>43</v>
      </c>
      <c r="D61" s="482" t="str">
        <f t="shared" si="0"/>
        <v>UDEN FOR OMRÅDET</v>
      </c>
    </row>
    <row r="62" spans="1:4" hidden="1" x14ac:dyDescent="0.2">
      <c r="A62" s="209" t="s">
        <v>581</v>
      </c>
      <c r="B62" s="483">
        <v>5.34</v>
      </c>
      <c r="C62" s="484">
        <v>34</v>
      </c>
      <c r="D62" s="482" t="str">
        <f t="shared" si="0"/>
        <v>UDEN FOR OMRÅDET</v>
      </c>
    </row>
    <row r="63" spans="1:4" hidden="1" x14ac:dyDescent="0.2">
      <c r="A63" s="485" t="s">
        <v>582</v>
      </c>
      <c r="B63" s="483">
        <v>7.02</v>
      </c>
      <c r="C63" s="484">
        <v>43</v>
      </c>
      <c r="D63" s="482" t="str">
        <f t="shared" si="0"/>
        <v>UDEN FOR OMRÅDET</v>
      </c>
    </row>
    <row r="64" spans="1:4" hidden="1" x14ac:dyDescent="0.2">
      <c r="A64" s="486" t="s">
        <v>583</v>
      </c>
      <c r="B64" s="483">
        <v>12.1</v>
      </c>
      <c r="C64" s="484">
        <v>68</v>
      </c>
      <c r="D64" s="482" t="str">
        <f t="shared" si="0"/>
        <v>UDEN FOR OMRÅDET</v>
      </c>
    </row>
    <row r="65" spans="1:4" hidden="1" x14ac:dyDescent="0.2">
      <c r="A65" s="485" t="s">
        <v>584</v>
      </c>
      <c r="B65" s="483">
        <v>14.8</v>
      </c>
      <c r="C65" s="484">
        <v>90</v>
      </c>
      <c r="D65" s="482">
        <f t="shared" si="0"/>
        <v>90</v>
      </c>
    </row>
    <row r="66" spans="1:4" hidden="1" x14ac:dyDescent="0.2">
      <c r="A66" s="209" t="s">
        <v>585</v>
      </c>
      <c r="B66" s="483">
        <v>12.1</v>
      </c>
      <c r="C66" s="484">
        <v>68</v>
      </c>
      <c r="D66" s="482" t="str">
        <f t="shared" si="0"/>
        <v>UDEN FOR OMRÅDET</v>
      </c>
    </row>
    <row r="67" spans="1:4" hidden="1" x14ac:dyDescent="0.2">
      <c r="A67" s="485" t="s">
        <v>586</v>
      </c>
      <c r="B67" s="483">
        <v>14.8</v>
      </c>
      <c r="C67" s="484">
        <v>90</v>
      </c>
      <c r="D67" s="482">
        <f t="shared" si="0"/>
        <v>90</v>
      </c>
    </row>
    <row r="68" spans="1:4" hidden="1" x14ac:dyDescent="0.2">
      <c r="A68" s="486" t="s">
        <v>587</v>
      </c>
      <c r="B68" s="483">
        <v>18.5</v>
      </c>
      <c r="C68" s="484">
        <v>110</v>
      </c>
      <c r="D68" s="482">
        <f t="shared" si="0"/>
        <v>90</v>
      </c>
    </row>
    <row r="69" spans="1:4" hidden="1" x14ac:dyDescent="0.2">
      <c r="A69" s="485" t="s">
        <v>588</v>
      </c>
      <c r="B69" s="483">
        <v>23</v>
      </c>
      <c r="C69" s="484">
        <v>135</v>
      </c>
      <c r="D69" s="482">
        <f t="shared" si="0"/>
        <v>90</v>
      </c>
    </row>
    <row r="70" spans="1:4" hidden="1" x14ac:dyDescent="0.2">
      <c r="A70" s="486" t="s">
        <v>589</v>
      </c>
      <c r="B70" s="483">
        <v>25.6</v>
      </c>
      <c r="C70" s="484">
        <v>148</v>
      </c>
      <c r="D70" s="482">
        <f t="shared" si="0"/>
        <v>90</v>
      </c>
    </row>
    <row r="71" spans="1:4" hidden="1" x14ac:dyDescent="0.2">
      <c r="A71" s="485" t="s">
        <v>590</v>
      </c>
      <c r="B71" s="483">
        <v>32</v>
      </c>
      <c r="C71" s="484">
        <v>195</v>
      </c>
      <c r="D71" s="482">
        <f t="shared" si="0"/>
        <v>90</v>
      </c>
    </row>
    <row r="72" spans="1:4" hidden="1" x14ac:dyDescent="0.2">
      <c r="A72" s="486" t="s">
        <v>591</v>
      </c>
      <c r="B72" s="483">
        <v>95</v>
      </c>
      <c r="C72" s="484">
        <v>210</v>
      </c>
      <c r="D72" s="482" t="str">
        <f t="shared" si="0"/>
        <v>UDEN FOR OMRÅDET</v>
      </c>
    </row>
    <row r="73" spans="1:4" hidden="1" x14ac:dyDescent="0.2">
      <c r="A73" s="485" t="s">
        <v>592</v>
      </c>
      <c r="B73" s="483">
        <v>130</v>
      </c>
      <c r="C73" s="484">
        <v>280</v>
      </c>
      <c r="D73" s="482" t="str">
        <f t="shared" si="0"/>
        <v>UDEN FOR OMRÅDET</v>
      </c>
    </row>
    <row r="74" spans="1:4" hidden="1" x14ac:dyDescent="0.2">
      <c r="A74" s="486" t="s">
        <v>593</v>
      </c>
      <c r="B74" s="483">
        <v>190</v>
      </c>
      <c r="C74" s="484">
        <v>475</v>
      </c>
      <c r="D74" s="482" t="str">
        <f t="shared" si="0"/>
        <v>UDEN FOR OMRÅDET</v>
      </c>
    </row>
    <row r="75" spans="1:4" hidden="1" x14ac:dyDescent="0.2">
      <c r="A75" s="485" t="s">
        <v>594</v>
      </c>
      <c r="B75" s="483">
        <v>245</v>
      </c>
      <c r="C75" s="484">
        <v>600</v>
      </c>
      <c r="D75" s="482" t="str">
        <f t="shared" si="0"/>
        <v>UDEN FOR OMRÅDET</v>
      </c>
    </row>
    <row r="76" spans="1:4" hidden="1" x14ac:dyDescent="0.2">
      <c r="A76" s="486" t="s">
        <v>595</v>
      </c>
      <c r="B76" s="483">
        <v>190</v>
      </c>
      <c r="C76" s="484">
        <v>475</v>
      </c>
      <c r="D76" s="482" t="str">
        <f t="shared" si="0"/>
        <v>UDEN FOR OMRÅDET</v>
      </c>
    </row>
    <row r="77" spans="1:4" hidden="1" x14ac:dyDescent="0.2">
      <c r="A77" s="485" t="s">
        <v>596</v>
      </c>
      <c r="B77" s="483">
        <v>245</v>
      </c>
      <c r="C77" s="484">
        <v>600</v>
      </c>
      <c r="D77" s="482" t="str">
        <f t="shared" si="0"/>
        <v>UDEN FOR OMRÅDET</v>
      </c>
    </row>
    <row r="78" spans="1:4" hidden="1" x14ac:dyDescent="0.2"/>
  </sheetData>
  <sheetProtection sheet="1" objects="1" scenarios="1"/>
  <mergeCells count="5">
    <mergeCell ref="A1:J1"/>
    <mergeCell ref="A2:J2"/>
    <mergeCell ref="A8:A9"/>
    <mergeCell ref="B8:C8"/>
    <mergeCell ref="D8:E8"/>
  </mergeCells>
  <pageMargins left="0.78740157480314965" right="0.39370078740157483" top="0.98425196850393704" bottom="0.98425196850393704" header="0.51181102362204722" footer="0.51181102362204722"/>
  <pageSetup paperSize="9" scale="105" orientation="landscape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46FEA0-8555-4370-9656-E38CCFFED61E}">
  <dimension ref="A1:K55"/>
  <sheetViews>
    <sheetView showGridLines="0" zoomScaleNormal="100" workbookViewId="0">
      <selection activeCell="B63" sqref="B63"/>
    </sheetView>
  </sheetViews>
  <sheetFormatPr defaultColWidth="8.85546875" defaultRowHeight="12.75" x14ac:dyDescent="0.2"/>
  <cols>
    <col min="1" max="1" width="23.7109375" customWidth="1"/>
    <col min="2" max="2" width="14.28515625" customWidth="1"/>
    <col min="3" max="3" width="15.7109375" customWidth="1"/>
    <col min="4" max="4" width="16.42578125" customWidth="1"/>
    <col min="5" max="5" width="15.7109375" customWidth="1"/>
    <col min="6" max="7" width="10.7109375" customWidth="1"/>
    <col min="8" max="8" width="7.140625" customWidth="1"/>
    <col min="9" max="9" width="10.7109375" customWidth="1"/>
    <col min="10" max="10" width="20.42578125" bestFit="1" customWidth="1"/>
    <col min="14" max="15" width="20.28515625" bestFit="1" customWidth="1"/>
  </cols>
  <sheetData>
    <row r="1" spans="1:11" ht="21" thickTop="1" x14ac:dyDescent="0.3">
      <c r="A1" s="495" t="s">
        <v>597</v>
      </c>
      <c r="B1" s="496"/>
      <c r="C1" s="496"/>
      <c r="D1" s="496"/>
      <c r="E1" s="496"/>
      <c r="F1" s="496"/>
      <c r="G1" s="496"/>
      <c r="H1" s="496"/>
      <c r="I1" s="496"/>
      <c r="J1" s="497"/>
      <c r="K1" s="208"/>
    </row>
    <row r="2" spans="1:11" ht="21" thickBot="1" x14ac:dyDescent="0.35">
      <c r="A2" s="498" t="s">
        <v>566</v>
      </c>
      <c r="B2" s="499"/>
      <c r="C2" s="499"/>
      <c r="D2" s="499"/>
      <c r="E2" s="499"/>
      <c r="F2" s="499"/>
      <c r="G2" s="499"/>
      <c r="H2" s="499"/>
      <c r="I2" s="499"/>
      <c r="J2" s="500"/>
      <c r="K2" s="208"/>
    </row>
    <row r="3" spans="1:11" ht="13.5" thickTop="1" x14ac:dyDescent="0.2">
      <c r="A3" s="207"/>
      <c r="B3" s="206"/>
      <c r="C3" s="206"/>
      <c r="D3" s="205"/>
      <c r="E3" s="205"/>
      <c r="F3" s="205"/>
      <c r="G3" s="205"/>
      <c r="H3" s="205"/>
      <c r="I3" s="205"/>
      <c r="J3" s="204"/>
    </row>
    <row r="4" spans="1:11" ht="13.5" thickBot="1" x14ac:dyDescent="0.25">
      <c r="A4" s="3"/>
      <c r="B4" s="372" t="s">
        <v>1</v>
      </c>
      <c r="D4" s="4"/>
      <c r="J4" s="2"/>
    </row>
    <row r="5" spans="1:11" ht="13.5" thickBot="1" x14ac:dyDescent="0.25">
      <c r="A5" s="7" t="s">
        <v>139</v>
      </c>
      <c r="B5" s="112">
        <v>1000</v>
      </c>
      <c r="C5" s="184" t="s">
        <v>188</v>
      </c>
      <c r="D5" s="4"/>
      <c r="G5" s="4"/>
      <c r="J5" s="2"/>
    </row>
    <row r="6" spans="1:11" x14ac:dyDescent="0.2">
      <c r="A6" s="3"/>
      <c r="G6" s="4"/>
      <c r="J6" s="2"/>
    </row>
    <row r="7" spans="1:11" ht="13.5" thickBot="1" x14ac:dyDescent="0.25">
      <c r="A7" s="3"/>
      <c r="J7" s="2"/>
    </row>
    <row r="8" spans="1:11" ht="13.5" thickTop="1" x14ac:dyDescent="0.2">
      <c r="A8" s="501" t="s">
        <v>137</v>
      </c>
      <c r="B8" s="503" t="s">
        <v>136</v>
      </c>
      <c r="C8" s="503"/>
      <c r="D8" s="503" t="s">
        <v>135</v>
      </c>
      <c r="E8" s="504"/>
      <c r="J8" s="2"/>
    </row>
    <row r="9" spans="1:11" x14ac:dyDescent="0.2">
      <c r="A9" s="502"/>
      <c r="B9" s="435" t="s">
        <v>187</v>
      </c>
      <c r="C9" s="435" t="s">
        <v>133</v>
      </c>
      <c r="D9" s="448" t="s">
        <v>132</v>
      </c>
      <c r="E9" s="450" t="s">
        <v>131</v>
      </c>
      <c r="J9" s="2"/>
    </row>
    <row r="10" spans="1:11" x14ac:dyDescent="0.2">
      <c r="A10" s="451" t="s">
        <v>229</v>
      </c>
      <c r="B10" s="452" t="s">
        <v>243</v>
      </c>
      <c r="C10" s="452" t="s">
        <v>241</v>
      </c>
      <c r="D10" s="453" t="str">
        <f>IF(D40="UDEN FOR OMRÅDET","NOT POSSIBLE",(0.0206*B5-0.1176))</f>
        <v>NOT POSSIBLE</v>
      </c>
      <c r="E10" s="455" t="str">
        <f>IF(D40="UDEN FOR OMRÅDET","NOT POSSIBLE",IF($B$5&lt;30,14.3,((((-0.000003*B5^2+0.0097*B5+13.982))))))</f>
        <v>NOT POSSIBLE</v>
      </c>
      <c r="J10" s="2"/>
    </row>
    <row r="11" spans="1:11" x14ac:dyDescent="0.2">
      <c r="A11" s="456" t="s">
        <v>228</v>
      </c>
      <c r="B11" s="435" t="s">
        <v>242</v>
      </c>
      <c r="C11" s="435" t="s">
        <v>241</v>
      </c>
      <c r="D11" s="453" t="str">
        <f>IF(D41="UDEN FOR OMRÅDET","NOT POSSIBLE",(0.0111*B5-0.1246))</f>
        <v>NOT POSSIBLE</v>
      </c>
      <c r="E11" s="455" t="str">
        <f>IF(D41="UDEN FOR OMRÅDET","NOT POSSIBLE",IF($B$5&lt;66,14.6,((((-0.000003*B5^2+0.0097*B5+13.982))))))</f>
        <v>NOT POSSIBLE</v>
      </c>
      <c r="J11" s="2"/>
    </row>
    <row r="12" spans="1:11" x14ac:dyDescent="0.2">
      <c r="A12" s="451" t="s">
        <v>227</v>
      </c>
      <c r="B12" s="452" t="s">
        <v>243</v>
      </c>
      <c r="C12" s="452" t="s">
        <v>241</v>
      </c>
      <c r="D12" s="453" t="str">
        <f>IF(D42="UDEN FOR OMRÅDET","NOT POSSIBLE",(0.0206*B5-0.1176))</f>
        <v>NOT POSSIBLE</v>
      </c>
      <c r="E12" s="455" t="str">
        <f>IF(D42="UDEN FOR OMRÅDET","NOT POSSIBLE",IF($B$5&lt;30,14.3,((((-0.000003*B5^2+0.0097*B5+13.982))))))</f>
        <v>NOT POSSIBLE</v>
      </c>
      <c r="J12" s="2"/>
    </row>
    <row r="13" spans="1:11" x14ac:dyDescent="0.2">
      <c r="A13" s="456" t="s">
        <v>226</v>
      </c>
      <c r="B13" s="435" t="s">
        <v>242</v>
      </c>
      <c r="C13" s="435" t="s">
        <v>241</v>
      </c>
      <c r="D13" s="453" t="str">
        <f>IF(D43="UDEN FOR OMRÅDET","NOT POSSIBLE",(0.0111*B5-0.1246))</f>
        <v>NOT POSSIBLE</v>
      </c>
      <c r="E13" s="455" t="str">
        <f>IF(D43="UDEN FOR OMRÅDET","NOT POSSIBLE",IF($B$5&lt;66,14.6,((((-0.000003*B5^2+0.0097*B5+13.982))))))</f>
        <v>NOT POSSIBLE</v>
      </c>
      <c r="J13" s="2"/>
    </row>
    <row r="14" spans="1:11" x14ac:dyDescent="0.2">
      <c r="A14" s="451" t="s">
        <v>225</v>
      </c>
      <c r="B14" s="452" t="s">
        <v>240</v>
      </c>
      <c r="C14" s="452" t="s">
        <v>190</v>
      </c>
      <c r="D14" s="453" t="str">
        <f>IF(D44="UDEN FOR OMRÅDET","NOT POSSIBLE",(0.0072*B5-0.1158))</f>
        <v>NOT POSSIBLE</v>
      </c>
      <c r="E14" s="455" t="str">
        <f>IF(D44="UDEN FOR OMRÅDET","NOT POSSIBLE",IF($B$5&lt;97,14.9,((((-0.000003*B5^2+0.0097*B5+13.982))))))</f>
        <v>NOT POSSIBLE</v>
      </c>
      <c r="J14" s="2"/>
    </row>
    <row r="15" spans="1:11" x14ac:dyDescent="0.2">
      <c r="A15" s="456" t="s">
        <v>224</v>
      </c>
      <c r="B15" s="435" t="s">
        <v>238</v>
      </c>
      <c r="C15" s="435" t="s">
        <v>204</v>
      </c>
      <c r="D15" s="453">
        <f>IF(D45="UDEN FOR OMRÅDET","NOT POSSIBLE",( 0.0031*B5-0.0739))</f>
        <v>3.0261</v>
      </c>
      <c r="E15" s="455">
        <f>IF(D45="UDEN FOR OMRÅDET","NOT POSSIBLE",IF($B$5&lt;219,16,((((-0.000003*B5^2+0.0097*B5+13.982))))))</f>
        <v>20.682000000000002</v>
      </c>
      <c r="J15" s="2"/>
    </row>
    <row r="16" spans="1:11" x14ac:dyDescent="0.2">
      <c r="A16" s="458" t="s">
        <v>223</v>
      </c>
      <c r="B16" s="459" t="s">
        <v>240</v>
      </c>
      <c r="C16" s="459" t="s">
        <v>190</v>
      </c>
      <c r="D16" s="453" t="str">
        <f>IF(D46="UDEN FOR OMRÅDET","NOT POSSIBLE",(0.0072*B5-0.1158))</f>
        <v>NOT POSSIBLE</v>
      </c>
      <c r="E16" s="455" t="str">
        <f>IF(D46="UDEN FOR OMRÅDET","NOT POSSIBLE",IF($B$5&lt;97,14.9,((((-0.000003*B5^2+0.0097*B5+13.982))))))</f>
        <v>NOT POSSIBLE</v>
      </c>
      <c r="J16" s="2"/>
    </row>
    <row r="17" spans="1:10" x14ac:dyDescent="0.2">
      <c r="A17" s="487" t="s">
        <v>598</v>
      </c>
      <c r="B17" s="435" t="s">
        <v>239</v>
      </c>
      <c r="C17" s="435" t="s">
        <v>190</v>
      </c>
      <c r="D17" s="453" t="str">
        <f>IF(D47="UDEN FOR OMRÅDET","NOT POSSIBLE",( 0.0041*B5-0.0554))</f>
        <v>NOT POSSIBLE</v>
      </c>
      <c r="E17" s="455" t="str">
        <f>IF(D47="UDEN FOR OMRÅDET","NOT POSSIBLE",IF($B$5&lt;157,15.4,((((-0.000003*B5^2+0.0097*B5+13.982))))))</f>
        <v>NOT POSSIBLE</v>
      </c>
      <c r="J17" s="2"/>
    </row>
    <row r="18" spans="1:10" x14ac:dyDescent="0.2">
      <c r="A18" s="458" t="s">
        <v>221</v>
      </c>
      <c r="B18" s="459" t="s">
        <v>238</v>
      </c>
      <c r="C18" s="459" t="s">
        <v>204</v>
      </c>
      <c r="D18" s="453">
        <f>IF(D48="UDEN FOR OMRÅDET","NOT POSSIBLE",( 0.0031*B5-0.0739))</f>
        <v>3.0261</v>
      </c>
      <c r="E18" s="455">
        <f>IF(D48="UDEN FOR OMRÅDET","NOT POSSIBLE",IF($B$5&lt;219,16,((((-0.000003*B5^2+0.0097*B5+13.982))))))</f>
        <v>20.682000000000002</v>
      </c>
      <c r="J18" s="2"/>
    </row>
    <row r="19" spans="1:10" x14ac:dyDescent="0.2">
      <c r="A19" s="456" t="s">
        <v>220</v>
      </c>
      <c r="B19" s="435" t="s">
        <v>237</v>
      </c>
      <c r="C19" s="435" t="s">
        <v>232</v>
      </c>
      <c r="D19" s="453">
        <f>IF(D49="UDEN FOR OMRÅDET","NOT POSSIBLE",(ROUND(0.000000000000738*B5^4-0.000000003305773*B5^3+0.000004764953804*B5^2-0.000101647006109*B5+0.281655010967834,1)))</f>
        <v>2.4</v>
      </c>
      <c r="E19" s="455">
        <f>IF(D49="UDEN FOR OMRÅDET","NOT POSSIBLE",IF($B$5&lt;219,16,((((-1.338352*D19^4+13.061298*D19^3-41.975654*D19^2+55.306489*D19-2.920448))))))</f>
        <v>24.191434796799989</v>
      </c>
      <c r="J19" s="2"/>
    </row>
    <row r="20" spans="1:10" x14ac:dyDescent="0.2">
      <c r="A20" s="458" t="s">
        <v>219</v>
      </c>
      <c r="B20" s="459" t="s">
        <v>236</v>
      </c>
      <c r="C20" s="459" t="s">
        <v>190</v>
      </c>
      <c r="D20" s="453">
        <f>IF(D50="UDEN FOR OMRÅDET","NOT POSSIBLE",(ROUND(1.4E-19*B5^6-1.19861E-15*B5^5+4.13643328E-12*B5^4-7.13978266724E-09*B5^3+5.84387840760556E-06*B5^2+0.000579276541885037*B5+0.11330832994119,1)))</f>
        <v>2.5</v>
      </c>
      <c r="E20" s="455">
        <f>IF(D50="UDEN FOR OMRÅDET","NOT POSSIBLE",IF($B$5&lt;219,16,((((-0.0488*D20^4+1.2823*D20^3-4.3242*D20^2+6.5949*D20+12.629))))))</f>
        <v>20.219687499999999</v>
      </c>
      <c r="J20" s="2"/>
    </row>
    <row r="21" spans="1:10" x14ac:dyDescent="0.2">
      <c r="A21" s="456" t="s">
        <v>218</v>
      </c>
      <c r="B21" s="435" t="s">
        <v>235</v>
      </c>
      <c r="C21" s="435" t="s">
        <v>234</v>
      </c>
      <c r="D21" s="453">
        <f>IF(D51="UDEN FOR OMRÅDET","NOT POSSIBLE",( 0.00113*B5-0.077966))</f>
        <v>1.0520339999999999</v>
      </c>
      <c r="E21" s="455">
        <f>IF(D51="UDEN FOR OMRÅDET","NOT POSSIBLE",IF($B$5&lt;600,17.3,((((0.1565*D21^3-0.4391*D21^2+0.7641*D21+16.949))))))</f>
        <v>17.449097241073726</v>
      </c>
      <c r="J21" s="2"/>
    </row>
    <row r="22" spans="1:10" x14ac:dyDescent="0.2">
      <c r="A22" s="458" t="s">
        <v>217</v>
      </c>
      <c r="B22" s="459" t="s">
        <v>233</v>
      </c>
      <c r="C22" s="459" t="s">
        <v>232</v>
      </c>
      <c r="D22" s="453">
        <f>IF(D52="UDEN FOR OMRÅDET","NOT POSSIBLE",( 0.000985*B5+0.058128))</f>
        <v>1.0431280000000001</v>
      </c>
      <c r="E22" s="455">
        <f>IF(D52="UDEN FOR OMRÅDET","NOT POSSIBLE",IF($B$5&lt;550,17.9,((((0.319164*D22^3-1.007683*D22^2+1.622683*D22+17.20149))))))</f>
        <v>18.159945329127069</v>
      </c>
      <c r="J22" s="2"/>
    </row>
    <row r="23" spans="1:10" x14ac:dyDescent="0.2">
      <c r="A23" s="456" t="s">
        <v>142</v>
      </c>
      <c r="B23" s="435" t="s">
        <v>231</v>
      </c>
      <c r="C23" s="435" t="s">
        <v>192</v>
      </c>
      <c r="D23" s="453" t="str">
        <f>IF(D53="UDEN FOR OMRÅDET","NOT POSSIBLE",(0.00000000000288*B5^3-0.0000000664956*B5^2+0.00083885974318*B5-0.43240908305444))</f>
        <v>NOT POSSIBLE</v>
      </c>
      <c r="E23" s="488" t="str">
        <f>IF(D53="UDEN FOR OMRÅDET","NOT POSSIBLE",IF($B$5&lt;1370,10,((((-0.00000000000001*B5^4+0.00000000017355*B5^3-0.00000068604015*B5^2+0.00101346313061*B5+9.48796472736388))))))</f>
        <v>NOT POSSIBLE</v>
      </c>
      <c r="J23" s="2"/>
    </row>
    <row r="24" spans="1:10" ht="13.5" thickBot="1" x14ac:dyDescent="0.25">
      <c r="A24" s="489" t="s">
        <v>216</v>
      </c>
      <c r="B24" s="490" t="s">
        <v>230</v>
      </c>
      <c r="C24" s="490" t="s">
        <v>192</v>
      </c>
      <c r="D24" s="462" t="str">
        <f>IF(D54="UDEN FOR OMRÅDET","NOT POSSIBLE",(0.0000000000026361*B5^3-0.0000000676435205*B5^2+0.0008135531716385*B5-0.4034323654908))</f>
        <v>NOT POSSIBLE</v>
      </c>
      <c r="E24" s="491" t="str">
        <f>IF(D54="UDEN FOR OMRÅDET","NOT POSSIBLE",IF($B$5&lt;1370,10,((((-0.0000000000124303*B5^3+0.000000413233432*B5^2-0.0009155917685558*B5+10.7948844712801))))))</f>
        <v>NOT POSSIBLE</v>
      </c>
      <c r="J24" s="2"/>
    </row>
    <row r="25" spans="1:10" ht="13.5" thickTop="1" x14ac:dyDescent="0.2">
      <c r="A25" s="367" t="s">
        <v>599</v>
      </c>
      <c r="J25" s="2"/>
    </row>
    <row r="26" spans="1:10" x14ac:dyDescent="0.2">
      <c r="A26" s="3"/>
      <c r="J26" s="2"/>
    </row>
    <row r="27" spans="1:10" x14ac:dyDescent="0.2">
      <c r="A27" s="3"/>
      <c r="J27" s="2"/>
    </row>
    <row r="28" spans="1:10" x14ac:dyDescent="0.2">
      <c r="A28" s="3"/>
      <c r="J28" s="2"/>
    </row>
    <row r="29" spans="1:10" x14ac:dyDescent="0.2">
      <c r="A29" s="3"/>
      <c r="J29" s="2"/>
    </row>
    <row r="30" spans="1:10" x14ac:dyDescent="0.2">
      <c r="A30" s="3"/>
      <c r="J30" s="2"/>
    </row>
    <row r="31" spans="1:10" x14ac:dyDescent="0.2">
      <c r="A31" s="3"/>
      <c r="J31" s="2"/>
    </row>
    <row r="32" spans="1:10" x14ac:dyDescent="0.2">
      <c r="A32" s="3"/>
      <c r="J32" s="2"/>
    </row>
    <row r="33" spans="1:10" x14ac:dyDescent="0.2">
      <c r="A33" s="3"/>
      <c r="J33" s="2"/>
    </row>
    <row r="34" spans="1:10" x14ac:dyDescent="0.2">
      <c r="A34" s="3"/>
      <c r="J34" s="2"/>
    </row>
    <row r="35" spans="1:10" x14ac:dyDescent="0.2">
      <c r="A35" s="3"/>
      <c r="E35" s="202"/>
      <c r="J35" s="2"/>
    </row>
    <row r="36" spans="1:10" ht="13.5" thickBot="1" x14ac:dyDescent="0.25">
      <c r="A36" s="210" t="s">
        <v>127</v>
      </c>
      <c r="B36" s="465"/>
      <c r="C36" s="465"/>
      <c r="D36" s="465"/>
      <c r="E36" s="465"/>
      <c r="F36" s="465"/>
      <c r="G36" s="465"/>
      <c r="H36" s="465"/>
      <c r="I36" s="465"/>
      <c r="J36" s="6"/>
    </row>
    <row r="37" spans="1:10" ht="10.5" customHeight="1" thickTop="1" x14ac:dyDescent="0.2"/>
    <row r="38" spans="1:10" hidden="1" x14ac:dyDescent="0.2"/>
    <row r="39" spans="1:10" ht="13.5" hidden="1" thickTop="1" x14ac:dyDescent="0.2">
      <c r="A39" s="201" t="s">
        <v>126</v>
      </c>
      <c r="B39" s="200" t="s">
        <v>0</v>
      </c>
      <c r="C39" s="200" t="s">
        <v>125</v>
      </c>
      <c r="D39" s="369" t="s">
        <v>124</v>
      </c>
    </row>
    <row r="40" spans="1:10" hidden="1" x14ac:dyDescent="0.2">
      <c r="A40" s="451" t="s">
        <v>229</v>
      </c>
      <c r="B40" s="368">
        <v>30</v>
      </c>
      <c r="C40" s="405">
        <v>200</v>
      </c>
      <c r="D40" s="386" t="str">
        <f t="shared" ref="D40:D54" si="0">IF($B$5&lt;=B40-1,"UDEN FOR OMRÅDET",IF($B$5&gt;=C40+1,"UDEN FOR OMRÅDET",$B$5))</f>
        <v>UDEN FOR OMRÅDET</v>
      </c>
    </row>
    <row r="41" spans="1:10" hidden="1" x14ac:dyDescent="0.2">
      <c r="A41" s="456" t="s">
        <v>228</v>
      </c>
      <c r="B41" s="368">
        <v>65</v>
      </c>
      <c r="C41" s="405">
        <v>370</v>
      </c>
      <c r="D41" s="386" t="str">
        <f t="shared" si="0"/>
        <v>UDEN FOR OMRÅDET</v>
      </c>
    </row>
    <row r="42" spans="1:10" hidden="1" x14ac:dyDescent="0.2">
      <c r="A42" s="451" t="s">
        <v>227</v>
      </c>
      <c r="B42" s="368">
        <v>30</v>
      </c>
      <c r="C42" s="405">
        <v>200</v>
      </c>
      <c r="D42" s="386" t="str">
        <f t="shared" si="0"/>
        <v>UDEN FOR OMRÅDET</v>
      </c>
    </row>
    <row r="43" spans="1:10" hidden="1" x14ac:dyDescent="0.2">
      <c r="A43" s="456" t="s">
        <v>226</v>
      </c>
      <c r="B43" s="368">
        <v>65</v>
      </c>
      <c r="C43" s="405">
        <v>370</v>
      </c>
      <c r="D43" s="386" t="str">
        <f t="shared" si="0"/>
        <v>UDEN FOR OMRÅDET</v>
      </c>
    </row>
    <row r="44" spans="1:10" hidden="1" x14ac:dyDescent="0.2">
      <c r="A44" s="451" t="s">
        <v>225</v>
      </c>
      <c r="B44" s="368">
        <v>100</v>
      </c>
      <c r="C44" s="405">
        <v>575</v>
      </c>
      <c r="D44" s="386" t="str">
        <f t="shared" si="0"/>
        <v>UDEN FOR OMRÅDET</v>
      </c>
    </row>
    <row r="45" spans="1:10" hidden="1" x14ac:dyDescent="0.2">
      <c r="A45" s="456" t="s">
        <v>224</v>
      </c>
      <c r="B45" s="386">
        <v>220</v>
      </c>
      <c r="C45" s="386">
        <v>1330</v>
      </c>
      <c r="D45" s="386">
        <f t="shared" si="0"/>
        <v>1000</v>
      </c>
    </row>
    <row r="46" spans="1:10" hidden="1" x14ac:dyDescent="0.2">
      <c r="A46" s="456" t="s">
        <v>223</v>
      </c>
      <c r="B46" s="368">
        <v>100</v>
      </c>
      <c r="C46" s="405">
        <v>575</v>
      </c>
      <c r="D46" s="386" t="str">
        <f t="shared" si="0"/>
        <v>UDEN FOR OMRÅDET</v>
      </c>
    </row>
    <row r="47" spans="1:10" hidden="1" x14ac:dyDescent="0.2">
      <c r="A47" s="451" t="s">
        <v>222</v>
      </c>
      <c r="B47" s="368">
        <v>160</v>
      </c>
      <c r="C47" s="405">
        <v>990</v>
      </c>
      <c r="D47" s="386" t="str">
        <f t="shared" si="0"/>
        <v>UDEN FOR OMRÅDET</v>
      </c>
    </row>
    <row r="48" spans="1:10" hidden="1" x14ac:dyDescent="0.2">
      <c r="A48" s="456" t="s">
        <v>221</v>
      </c>
      <c r="B48" s="386">
        <v>220</v>
      </c>
      <c r="C48" s="386">
        <v>1330</v>
      </c>
      <c r="D48" s="386">
        <f t="shared" si="0"/>
        <v>1000</v>
      </c>
    </row>
    <row r="49" spans="1:4" hidden="1" x14ac:dyDescent="0.2">
      <c r="A49" s="458" t="s">
        <v>220</v>
      </c>
      <c r="B49" s="386">
        <v>300</v>
      </c>
      <c r="C49" s="386">
        <v>1800</v>
      </c>
      <c r="D49" s="386">
        <f t="shared" si="0"/>
        <v>1000</v>
      </c>
    </row>
    <row r="50" spans="1:4" hidden="1" x14ac:dyDescent="0.2">
      <c r="A50" s="456" t="s">
        <v>219</v>
      </c>
      <c r="B50" s="386">
        <v>280</v>
      </c>
      <c r="C50" s="386">
        <v>1800</v>
      </c>
      <c r="D50" s="386">
        <f t="shared" si="0"/>
        <v>1000</v>
      </c>
    </row>
    <row r="51" spans="1:4" hidden="1" x14ac:dyDescent="0.2">
      <c r="A51" s="458" t="s">
        <v>218</v>
      </c>
      <c r="B51" s="492">
        <v>600</v>
      </c>
      <c r="C51" s="405">
        <v>3609</v>
      </c>
      <c r="D51" s="386">
        <f t="shared" si="0"/>
        <v>1000</v>
      </c>
    </row>
    <row r="52" spans="1:4" hidden="1" x14ac:dyDescent="0.2">
      <c r="A52" s="456" t="s">
        <v>217</v>
      </c>
      <c r="B52" s="492">
        <v>550</v>
      </c>
      <c r="C52" s="405">
        <v>4001</v>
      </c>
      <c r="D52" s="386">
        <f t="shared" si="0"/>
        <v>1000</v>
      </c>
    </row>
    <row r="53" spans="1:4" hidden="1" x14ac:dyDescent="0.2">
      <c r="A53" s="458" t="s">
        <v>142</v>
      </c>
      <c r="B53" s="492">
        <v>1370</v>
      </c>
      <c r="C53" s="405">
        <v>9500</v>
      </c>
      <c r="D53" s="386" t="str">
        <f t="shared" si="0"/>
        <v>UDEN FOR OMRÅDET</v>
      </c>
    </row>
    <row r="54" spans="1:4" ht="13.5" hidden="1" thickBot="1" x14ac:dyDescent="0.25">
      <c r="A54" s="460" t="s">
        <v>216</v>
      </c>
      <c r="B54" s="493">
        <v>1400</v>
      </c>
      <c r="C54" s="494">
        <v>11500</v>
      </c>
      <c r="D54" s="374" t="str">
        <f t="shared" si="0"/>
        <v>UDEN FOR OMRÅDET</v>
      </c>
    </row>
    <row r="55" spans="1:4" hidden="1" x14ac:dyDescent="0.2"/>
  </sheetData>
  <sheetProtection sheet="1" objects="1" scenarios="1"/>
  <mergeCells count="5">
    <mergeCell ref="A1:J1"/>
    <mergeCell ref="A2:J2"/>
    <mergeCell ref="A8:A9"/>
    <mergeCell ref="B8:C8"/>
    <mergeCell ref="D8:E8"/>
  </mergeCells>
  <pageMargins left="0.78740157480314965" right="0.39370078740157483" top="0.98425196850393704" bottom="0.98425196850393704" header="0.51181102362204722" footer="0.51181102362204722"/>
  <pageSetup paperSize="9" scale="105" orientation="landscape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6B2D06-B051-4717-9E62-5B2E941F0231}">
  <dimension ref="A1:M79"/>
  <sheetViews>
    <sheetView showGridLines="0" tabSelected="1" zoomScaleNormal="100" workbookViewId="0">
      <selection activeCell="N23" sqref="N23"/>
    </sheetView>
  </sheetViews>
  <sheetFormatPr defaultColWidth="8.85546875" defaultRowHeight="12.75" x14ac:dyDescent="0.2"/>
  <cols>
    <col min="1" max="1" width="25.7109375" style="162" customWidth="1"/>
    <col min="2" max="2" width="14.28515625" style="162" customWidth="1"/>
    <col min="3" max="3" width="15.7109375" style="162" customWidth="1"/>
    <col min="4" max="4" width="16.42578125" style="162" customWidth="1"/>
    <col min="5" max="5" width="15.7109375" style="162" customWidth="1"/>
    <col min="6" max="7" width="10.7109375" style="162" customWidth="1"/>
    <col min="8" max="8" width="7.140625" style="162" customWidth="1"/>
    <col min="9" max="9" width="10.7109375" style="162" customWidth="1"/>
    <col min="10" max="10" width="20.42578125" style="162" bestFit="1" customWidth="1"/>
    <col min="11" max="13" width="8.85546875" style="162"/>
    <col min="14" max="15" width="20.28515625" style="162" bestFit="1" customWidth="1"/>
    <col min="16" max="16384" width="8.85546875" style="162"/>
  </cols>
  <sheetData>
    <row r="1" spans="1:11" ht="21" thickTop="1" x14ac:dyDescent="0.3">
      <c r="A1" s="495" t="s">
        <v>597</v>
      </c>
      <c r="B1" s="496"/>
      <c r="C1" s="496"/>
      <c r="D1" s="496"/>
      <c r="E1" s="496"/>
      <c r="F1" s="496"/>
      <c r="G1" s="496"/>
      <c r="H1" s="496"/>
      <c r="I1" s="496"/>
      <c r="J1" s="497"/>
      <c r="K1" s="190"/>
    </row>
    <row r="2" spans="1:11" ht="21" thickBot="1" x14ac:dyDescent="0.35">
      <c r="A2" s="498" t="s">
        <v>566</v>
      </c>
      <c r="B2" s="499"/>
      <c r="C2" s="499"/>
      <c r="D2" s="499"/>
      <c r="E2" s="499"/>
      <c r="F2" s="499"/>
      <c r="G2" s="499"/>
      <c r="H2" s="499"/>
      <c r="I2" s="499"/>
      <c r="J2" s="500"/>
      <c r="K2" s="190"/>
    </row>
    <row r="3" spans="1:11" ht="13.5" thickTop="1" x14ac:dyDescent="0.2">
      <c r="A3" s="189"/>
      <c r="B3" s="188"/>
      <c r="C3" s="188"/>
      <c r="D3" s="187"/>
      <c r="E3" s="187"/>
      <c r="F3" s="187"/>
      <c r="G3" s="187"/>
      <c r="H3" s="187"/>
      <c r="I3" s="187"/>
      <c r="J3" s="186"/>
    </row>
    <row r="4" spans="1:11" ht="13.5" thickBot="1" x14ac:dyDescent="0.25">
      <c r="A4" s="176"/>
      <c r="B4" s="447" t="s">
        <v>1</v>
      </c>
      <c r="D4" s="183"/>
      <c r="J4" s="174"/>
    </row>
    <row r="5" spans="1:11" ht="13.5" thickBot="1" x14ac:dyDescent="0.25">
      <c r="A5" s="7" t="s">
        <v>139</v>
      </c>
      <c r="B5" s="185">
        <v>50</v>
      </c>
      <c r="C5" s="184" t="s">
        <v>138</v>
      </c>
      <c r="D5" s="183"/>
      <c r="G5" s="183"/>
      <c r="J5" s="174"/>
    </row>
    <row r="6" spans="1:11" x14ac:dyDescent="0.2">
      <c r="A6" s="176"/>
      <c r="G6" s="183"/>
      <c r="J6" s="174"/>
    </row>
    <row r="7" spans="1:11" ht="13.5" thickBot="1" x14ac:dyDescent="0.25">
      <c r="A7" s="176"/>
      <c r="J7" s="174"/>
    </row>
    <row r="8" spans="1:11" ht="13.5" thickTop="1" x14ac:dyDescent="0.2">
      <c r="A8" s="505" t="s">
        <v>567</v>
      </c>
      <c r="B8" s="503" t="s">
        <v>136</v>
      </c>
      <c r="C8" s="503"/>
      <c r="D8" s="503" t="s">
        <v>135</v>
      </c>
      <c r="E8" s="504"/>
      <c r="J8" s="174"/>
    </row>
    <row r="9" spans="1:11" x14ac:dyDescent="0.2">
      <c r="A9" s="506"/>
      <c r="B9" s="435" t="s">
        <v>134</v>
      </c>
      <c r="C9" s="435" t="s">
        <v>133</v>
      </c>
      <c r="D9" s="448" t="s">
        <v>132</v>
      </c>
      <c r="E9" s="450" t="s">
        <v>131</v>
      </c>
      <c r="J9" s="174"/>
    </row>
    <row r="10" spans="1:11" x14ac:dyDescent="0.2">
      <c r="A10" s="592" t="s">
        <v>568</v>
      </c>
      <c r="B10" s="593" t="s">
        <v>600</v>
      </c>
      <c r="C10" s="593" t="s">
        <v>192</v>
      </c>
      <c r="D10" s="594" t="str">
        <f>IF(D51="UDEN FOR OMRÅDET","NOT POSSIBLE",(-0.0000744443770088754*B5^4+0.00292171308841865*B5^3-0.0567173967219805*B5^2+0.756668136435242*B5-0.344917179650021))</f>
        <v>NOT POSSIBLE</v>
      </c>
      <c r="E10" s="595" t="str">
        <f>IF(D51="UDEN FOR OMRÅDET","NOT POSSIBLE",IF($B$5&lt;1.4,10,((((-0.570728291317209*D10^4+5.37394957984688*D10^3-14.4754901961331*D10^2+16.3697478992248*D10+4.30252100841313))))))</f>
        <v>NOT POSSIBLE</v>
      </c>
      <c r="J10" s="174"/>
    </row>
    <row r="11" spans="1:11" x14ac:dyDescent="0.2">
      <c r="A11" s="596" t="s">
        <v>570</v>
      </c>
      <c r="B11" s="597" t="s">
        <v>601</v>
      </c>
      <c r="C11" s="597" t="s">
        <v>214</v>
      </c>
      <c r="D11" s="594" t="str">
        <f>IF(D52="UDEN FOR OMRÅDET","NOT POSSIBLE",(-0.0007*B5^3+0.0111*B5^2+0.2671*B5-0.1437))</f>
        <v>NOT POSSIBLE</v>
      </c>
      <c r="E11" s="595" t="str">
        <f>IF(D52="UDEN FOR OMRÅDET","NOT POSSIBLE",IF($B$5&lt;3.9,6.5,((((0.25*D11^3-0.25*D11^2+0.5*D11+6))))))</f>
        <v>NOT POSSIBLE</v>
      </c>
      <c r="J11" s="174"/>
    </row>
    <row r="12" spans="1:11" x14ac:dyDescent="0.2">
      <c r="A12" s="592" t="s">
        <v>571</v>
      </c>
      <c r="B12" s="598" t="s">
        <v>602</v>
      </c>
      <c r="C12" s="598" t="s">
        <v>130</v>
      </c>
      <c r="D12" s="594" t="str">
        <f>IF(D53="UDEN FOR OMRÅDET","NOT POSSIBLE",(-0.000159*B5^3+0.004239*B5^2+0.159774*B5-0.099711))</f>
        <v>NOT POSSIBLE</v>
      </c>
      <c r="E12" s="595" t="str">
        <f>IF(D53="UDEN FOR OMRÅDET","NOT POSSIBLE",IF($B$5&lt;6.2,19,((((0.6667*D12^3-0.5*D12^2-1.1667*D12+20))))))</f>
        <v>NOT POSSIBLE</v>
      </c>
      <c r="J12" s="174"/>
    </row>
    <row r="13" spans="1:11" x14ac:dyDescent="0.2">
      <c r="A13" s="596" t="s">
        <v>572</v>
      </c>
      <c r="B13" s="599" t="s">
        <v>603</v>
      </c>
      <c r="C13" s="599" t="s">
        <v>192</v>
      </c>
      <c r="D13" s="594" t="str">
        <f>IF(D54="UDEN FOR OMRÅDET","NOT POSSIBLE",(0.000162715270821789*B5^4-0.00644657529408476*B5^3+0.0820069584470269*B5^2-0.0966295248455586*B5+0.304399840266505))</f>
        <v>NOT POSSIBLE</v>
      </c>
      <c r="E13" s="595" t="str">
        <f>IF(D54="UDEN FOR OMRÅDET","NOT POSSIBLE",IF($B$5&lt;5.73,10,((((0.381652661064663*D13^4-2.81652661064563*D13^3+7.35784313724913*D13^2-7.08263305321513*D13+12.1596638655624))))))</f>
        <v>NOT POSSIBLE</v>
      </c>
      <c r="J13" s="174"/>
    </row>
    <row r="14" spans="1:11" x14ac:dyDescent="0.2">
      <c r="A14" s="592" t="s">
        <v>573</v>
      </c>
      <c r="B14" s="598" t="s">
        <v>604</v>
      </c>
      <c r="C14" s="598" t="s">
        <v>130</v>
      </c>
      <c r="D14" s="594" t="str">
        <f>IF(D55="UDEN FOR OMRÅDET","NOT POSSIBLE",(0.0000321790932243382*B5^4-0.00197303164643433*B5^3+0.0390993234943823*B5^2-0.0988674213775071*B5+0.459262482859325))</f>
        <v>NOT POSSIBLE</v>
      </c>
      <c r="E14" s="595" t="str">
        <f>IF(D55="UDEN FOR OMRÅDET","NOT POSSIBLE",IF($B$5&lt;8.53,19,((((0.491946778711736*D14^4-2.9194677871139*D14^3+6.71813725488853*D14^2-6.09733893556909*D14+20.8067226891174))))))</f>
        <v>NOT POSSIBLE</v>
      </c>
      <c r="J14" s="174"/>
    </row>
    <row r="15" spans="1:11" x14ac:dyDescent="0.2">
      <c r="A15" s="596" t="s">
        <v>575</v>
      </c>
      <c r="B15" s="597" t="s">
        <v>605</v>
      </c>
      <c r="C15" s="597" t="s">
        <v>190</v>
      </c>
      <c r="D15" s="594" t="str">
        <f>IF(D56="UDEN FOR OMRÅDET","NOT POSSIBLE",(-0.000124*B5^3+0.002487*B5^2+0.185365*B5-0.283831))</f>
        <v>NOT POSSIBLE</v>
      </c>
      <c r="E15" s="595" t="str">
        <f>IF(D56="UDEN FOR OMRÅDET","NOT POSSIBLE",IF($B$5&lt;6.6,15,((((0.6667*D15^3-4.5*D15^2+11.833*D15+7))))))</f>
        <v>NOT POSSIBLE</v>
      </c>
      <c r="J15" s="174"/>
    </row>
    <row r="16" spans="1:11" x14ac:dyDescent="0.2">
      <c r="A16" s="592" t="s">
        <v>576</v>
      </c>
      <c r="B16" s="598" t="s">
        <v>606</v>
      </c>
      <c r="C16" s="598" t="s">
        <v>128</v>
      </c>
      <c r="D16" s="594" t="str">
        <f>IF(D57="UDEN FOR OMRÅDET","NOT POSSIBLE",(0.00000407*B5^4-0.00036799*B5^3+0.01016138*B5^2+0.03167768*B5+0.12121138))</f>
        <v>NOT POSSIBLE</v>
      </c>
      <c r="E16" s="595" t="str">
        <f>IF(D57="UDEN FOR OMRÅDET","NOT POSSIBLE",IF($B$5&lt;9.1,30,((((-0.0006*B5^4+0.0649*B5^3-2.5628*B5^2+44.871*B5-285.08))))))</f>
        <v>NOT POSSIBLE</v>
      </c>
      <c r="J16" s="174"/>
    </row>
    <row r="17" spans="1:10" x14ac:dyDescent="0.2">
      <c r="A17" s="596" t="s">
        <v>577</v>
      </c>
      <c r="B17" s="599" t="s">
        <v>605</v>
      </c>
      <c r="C17" s="599" t="s">
        <v>190</v>
      </c>
      <c r="D17" s="594" t="str">
        <f>IF(D58="UDEN FOR OMRÅDET","NOT POSSIBLE",(0.0000154158212750388*B5^4-0.00101946376531805*B5^3+0.0204701933257057*B5^2+0.0404255250317372*B5+0.10611774711099))</f>
        <v>NOT POSSIBLE</v>
      </c>
      <c r="E17" s="595" t="str">
        <f>IF(D58="UDEN FOR OMRÅDET","NOT POSSIBLE",IF($B$5&lt;7.61,15,((((0.51995798319399*D17^4-4.53291316526902*D17^3+13.6985294117659*D17^2-14.164565826332*D17+19.4789915966622))))))</f>
        <v>NOT POSSIBLE</v>
      </c>
      <c r="J17" s="174"/>
    </row>
    <row r="18" spans="1:10" x14ac:dyDescent="0.2">
      <c r="A18" s="592" t="s">
        <v>578</v>
      </c>
      <c r="B18" s="598" t="s">
        <v>606</v>
      </c>
      <c r="C18" s="598" t="s">
        <v>128</v>
      </c>
      <c r="D18" s="594" t="str">
        <f>IF(D59="UDEN FOR OMRÅDET","NOT POSSIBLE",(4.02608466046339E-06*B5^4-0.00035802565478112*B5^3+0.00963888626697573*B5^2+0.0408604909263801*B5+0.0760791413266123))</f>
        <v>NOT POSSIBLE</v>
      </c>
      <c r="E18" s="595" t="str">
        <f>IF(D59="UDEN FOR OMRÅDET","NOT POSSIBLE",IF($B$5&lt;17.4,27,(((( 0.330882352941899*D18^4-1.14215686274219*D18^3+1.08088235290768*D18^2-0.210784313687138*D18+26.9411764706273))))))</f>
        <v>NOT POSSIBLE</v>
      </c>
      <c r="J18" s="174"/>
    </row>
    <row r="19" spans="1:10" x14ac:dyDescent="0.2">
      <c r="A19" s="596" t="s">
        <v>579</v>
      </c>
      <c r="B19" s="597" t="s">
        <v>607</v>
      </c>
      <c r="C19" s="597" t="s">
        <v>204</v>
      </c>
      <c r="D19" s="594" t="str">
        <f>IF(D60="UDEN FOR OMRÅDET","NOT POSSIBLE",(-0.000044*B5^3+0.000728*B5^2+0.150689*B5-0.254301))</f>
        <v>NOT POSSIBLE</v>
      </c>
      <c r="E19" s="595" t="str">
        <f>IF(D60="UDEN FOR OMRÅDET","NOT POSSIBLE",IF($B$5&lt;17.7,9,IF($B$5&lt;20.8,10,((((-0.0006059886*$B$5^4+0.0649009611*$B$5^3-2.5628151651*$B$5^2+44.8712899721*$B$5-285.0821289645)))))))</f>
        <v>NOT POSSIBLE</v>
      </c>
      <c r="J19" s="174"/>
    </row>
    <row r="20" spans="1:10" x14ac:dyDescent="0.2">
      <c r="A20" s="592" t="s">
        <v>580</v>
      </c>
      <c r="B20" s="598" t="s">
        <v>608</v>
      </c>
      <c r="C20" s="598" t="s">
        <v>129</v>
      </c>
      <c r="D20" s="594" t="str">
        <f>IF(D61="UDEN FOR OMRÅDET","NOT POSSIBLE",(0.00000156*B5^4-0.0001838*B5^3+0.00652234*B5^2+0.0239868*B5+0.17174038))</f>
        <v>NOT POSSIBLE</v>
      </c>
      <c r="E20" s="595" t="str">
        <f>IF(D61="UDEN FOR OMRÅDET","NOT POSSIBLE",IF($B$5&lt;16.3,15,IF($B$5&lt;21.5,16,IF($B$5&lt;25.2,17,((((0.0000276161*$B$5^4-0.0039238974*$B$5^3+0.2208392282*$B$5^2-5.0743110519*$B$5+56.3883348314))))))))</f>
        <v>NOT POSSIBLE</v>
      </c>
      <c r="J20" s="174"/>
    </row>
    <row r="21" spans="1:10" x14ac:dyDescent="0.2">
      <c r="A21" s="596" t="s">
        <v>581</v>
      </c>
      <c r="B21" s="599" t="s">
        <v>607</v>
      </c>
      <c r="C21" s="599" t="s">
        <v>204</v>
      </c>
      <c r="D21" s="594" t="str">
        <f>IF(D62="UDEN FOR OMRÅDET","NOT POSSIBLE",(5.52735737038498E-06*B5^4-0.000478613284121367*B5^3+0.0124468737679663*B5^2+0.0252938291981023*B5+0.181504498124926))</f>
        <v>NOT POSSIBLE</v>
      </c>
      <c r="E21" s="595" t="str">
        <f>IF(D62="UDEN FOR OMRÅDET","NOT POSSIBLE",IF($B$5&lt;17.7,9,IF($B$5&lt;20.8,10,((((-0.0006059886*$B$5^4+0.0649009611*$B$5^3-2.5628151651*$B$5^2+44.8712899721*$B$5-285.0821289645)))))))</f>
        <v>NOT POSSIBLE</v>
      </c>
      <c r="J21" s="174"/>
    </row>
    <row r="22" spans="1:10" x14ac:dyDescent="0.2">
      <c r="A22" s="592" t="s">
        <v>582</v>
      </c>
      <c r="B22" s="598" t="s">
        <v>608</v>
      </c>
      <c r="C22" s="598" t="s">
        <v>129</v>
      </c>
      <c r="D22" s="594" t="str">
        <f>IF(D63="UDEN FOR OMRÅDET","NOT POSSIBLE",(1.85657689749825E-06*B5^4-0.000211283125968968*B5^3+0.00739115989499179*B5^2+0.0133987970128351*B5+0.212256324155116))</f>
        <v>NOT POSSIBLE</v>
      </c>
      <c r="E22" s="595" t="str">
        <f>IF(D63="UDEN FOR OMRÅDET","NOT POSSIBLE",IF($B$5&lt;16.3,15,IF($B$5&lt;21.5,16,IF($B$5&lt;25.2,17,((((0.0000276161*$B$5^4-0.0039238974*$B$5^3+0.2208392282*$B$5^2-5.0743110519*$B$5+56.3883348314))))))))</f>
        <v>NOT POSSIBLE</v>
      </c>
      <c r="J22" s="174"/>
    </row>
    <row r="23" spans="1:10" x14ac:dyDescent="0.2">
      <c r="A23" s="596" t="s">
        <v>583</v>
      </c>
      <c r="B23" s="597" t="s">
        <v>609</v>
      </c>
      <c r="C23" s="597" t="s">
        <v>207</v>
      </c>
      <c r="D23" s="594">
        <f>IF(D64="UDEN FOR OMRÅDET","NOT POSSIBLE",(0.0000006139*B5^4-0.000106561*B5^3+0.0058288674*B5^2-0.0444580014*B5+0.4579242305))</f>
        <v>3.3239426605000002</v>
      </c>
      <c r="E23" s="595">
        <f>IF(D64="UDEN FOR OMRÅDET","NOT POSSIBLE",IF($B$5&lt;32.5,10,IF($B$5&lt;37.7,11,((((-0.0000319427*$B$5^4+0.0064092589*$B$5^3-0.4670887171*$B$5^2+15.0643654482*$B$5-171.8814946255)))))))</f>
        <v>15.130472534499916</v>
      </c>
      <c r="J23" s="174"/>
    </row>
    <row r="24" spans="1:10" x14ac:dyDescent="0.2">
      <c r="A24" s="592" t="s">
        <v>584</v>
      </c>
      <c r="B24" s="598" t="s">
        <v>610</v>
      </c>
      <c r="C24" s="598" t="s">
        <v>128</v>
      </c>
      <c r="D24" s="594">
        <f>IF(D65="UDEN FOR OMRÅDET","NOT POSSIBLE",(0.0000002014*B5^4-0.0000448209*B5^3+0.0030842417*B5^2-0.0208500823*B5+0.3651879533))</f>
        <v>2.6894255883000002</v>
      </c>
      <c r="E24" s="595">
        <f>IF(D65="UDEN FOR OMRÅDET","NOT POSSIBLE",IF($B$5&lt;44.6,16,((((0.0000007095*$B$5^4-0.0003256283*$B$5^3+0.0495869294*$B$5^2-2.412171463*$B$5+51.2332624781))))))</f>
        <v>18.322850328100003</v>
      </c>
      <c r="J24" s="174"/>
    </row>
    <row r="25" spans="1:10" x14ac:dyDescent="0.2">
      <c r="A25" s="596" t="s">
        <v>585</v>
      </c>
      <c r="B25" s="599" t="s">
        <v>609</v>
      </c>
      <c r="C25" s="599" t="s">
        <v>207</v>
      </c>
      <c r="D25" s="594">
        <f>IF(D66="UDEN FOR OMRÅDET","NOT POSSIBLE",(0.0000006070301058743*B5^4-0.000105050925091951*B5^3+0.00571998166320535*B5^2-0.0415516068976193*B5+0.43691092585702))</f>
        <v>3.32185726420993</v>
      </c>
      <c r="E25" s="595">
        <f>IF(D66="UDEN FOR OMRÅDET","NOT POSSIBLE",IF($B$5&lt;32.5,10,IF($B$5&lt;37.7,11,((((-0.0000319427*$B$5^4+0.0064092589*$B$5^3-0.4670887171*$B$5^2+15.0643654482*$B$5-171.8814946255)))))))</f>
        <v>15.130472534499916</v>
      </c>
      <c r="J25" s="174"/>
    </row>
    <row r="26" spans="1:10" x14ac:dyDescent="0.2">
      <c r="A26" s="592" t="s">
        <v>586</v>
      </c>
      <c r="B26" s="598" t="s">
        <v>610</v>
      </c>
      <c r="C26" s="598" t="s">
        <v>128</v>
      </c>
      <c r="D26" s="594">
        <f>IF(D67="UDEN FOR OMRÅDET","NOT POSSIBLE",(0.0000002001639999614*B5^4-0.0000446659090155319*B5^3+0.0030814204700492*B5^2-0.0209708963404282*B5+0.366473500264836))</f>
        <v>2.689266231183689</v>
      </c>
      <c r="E26" s="595">
        <f>IF(D67="UDEN FOR OMRÅDET","NOT POSSIBLE",IF($B$5&lt;44.6,16,((((0.0000007095*$B$5^4-0.0003256283*$B$5^3+0.0495869294*$B$5^2-2.412171463*$B$5+51.2332624781))))))</f>
        <v>18.322850328100003</v>
      </c>
      <c r="J26" s="174"/>
    </row>
    <row r="27" spans="1:10" x14ac:dyDescent="0.2">
      <c r="A27" s="596" t="s">
        <v>587</v>
      </c>
      <c r="B27" s="597" t="s">
        <v>611</v>
      </c>
      <c r="C27" s="597" t="s">
        <v>204</v>
      </c>
      <c r="D27" s="594">
        <f>IF(D68="UDEN FOR OMRÅDET","NOT POSSIBLE",(-0.0000024*B5^3+0.00033459*B5^2+0.02873223*B5-0.03574711))</f>
        <v>1.9373393900000002</v>
      </c>
      <c r="E27" s="595">
        <f>IF(D68="UDEN FOR OMRÅDET","NOT POSSIBLE",IF($B$5&lt;28.5,16,((((0.00004639*B5^3-0.00631449*B5^2+0.36332191*B5+9.70047171))))))</f>
        <v>17.879092210000003</v>
      </c>
      <c r="J27" s="174"/>
    </row>
    <row r="28" spans="1:10" x14ac:dyDescent="0.2">
      <c r="A28" s="592" t="s">
        <v>588</v>
      </c>
      <c r="B28" s="598" t="s">
        <v>612</v>
      </c>
      <c r="C28" s="598" t="s">
        <v>202</v>
      </c>
      <c r="D28" s="594">
        <f>IF(D69="UDEN FOR OMRÅDET","NOT POSSIBLE",(0.0000000087*B5^4-0.0000042912*B5^3+0.000602127*B5^2+0.0030265472*B5+0.2709223762))</f>
        <v>1.4455422362000001</v>
      </c>
      <c r="E28" s="595">
        <f>IF(D69="UDEN FOR OMRÅDET","NOT POSSIBLE",IF($B$5&lt;36.5,27,((((0.00003815*B5^3-0.00623625*B5^2+0.39933964*B5+18.87714266))))))</f>
        <v>28.022249660000004</v>
      </c>
      <c r="J28" s="174"/>
    </row>
    <row r="29" spans="1:10" x14ac:dyDescent="0.2">
      <c r="A29" s="596" t="s">
        <v>589</v>
      </c>
      <c r="B29" s="597" t="s">
        <v>613</v>
      </c>
      <c r="C29" s="597" t="s">
        <v>200</v>
      </c>
      <c r="D29" s="594">
        <f>IF(D70="UDEN FOR OMRÅDET","NOT POSSIBLE",(0.0000000079*B5^4-0.0000031427*B5^3+0.0003781874*B5^2+0.0139576939*B5+0.0433215217))</f>
        <v>1.3432122167000002</v>
      </c>
      <c r="E29" s="595">
        <f>IF(D70="UDEN FOR OMRÅDET","NOT POSSIBLE",IF($B$5&lt;70.4,21,((((-1.6666666667*D29^3+13.5*D29^2-27.8333333333*D29+37))))))</f>
        <v>21</v>
      </c>
      <c r="J29" s="174"/>
    </row>
    <row r="30" spans="1:10" x14ac:dyDescent="0.2">
      <c r="A30" s="592" t="s">
        <v>590</v>
      </c>
      <c r="B30" s="598" t="s">
        <v>614</v>
      </c>
      <c r="C30" s="598" t="s">
        <v>198</v>
      </c>
      <c r="D30" s="594">
        <f>IF(D71="UDEN FOR OMRÅDET","NOT POSSIBLE",(0.000000004262661*B5^4-0.000002203935325*B5^3+0.000349196460344*B5^2+0.003639383225018*B5+0.193846671691572))</f>
        <v>0.9999566994274719</v>
      </c>
      <c r="E30" s="595">
        <f>IF(D71="UDEN FOR OMRÅDET","NOT POSSIBLE",IF($B$5&lt;89,33,((((-0.6666666667*D30^3+9.5*D30^2-22.8333333333*D30+47))))))</f>
        <v>33</v>
      </c>
      <c r="J30" s="174"/>
    </row>
    <row r="31" spans="1:10" x14ac:dyDescent="0.2">
      <c r="A31" s="596" t="s">
        <v>591</v>
      </c>
      <c r="B31" s="597" t="s">
        <v>615</v>
      </c>
      <c r="C31" s="597" t="s">
        <v>196</v>
      </c>
      <c r="D31" s="594" t="str">
        <f>IF(D72="UDEN FOR OMRÅDET","NOT POSSIBLE",(-0.000000006659004*B5^4+0.000004735461176*B5^3-0.001276874830972*B5^2+0.177325762767072*B5-7.83507332221808))</f>
        <v>NOT POSSIBLE</v>
      </c>
      <c r="E31" s="595" t="str">
        <f>IF(D72="UDEN FOR OMRÅDET","NOT POSSIBLE",IF($B$5&lt;70.4,21,((((-0.5*D31^3+4.49999999999909*D31^2-4.99999999999727*D31+11.999999999996))))))</f>
        <v>NOT POSSIBLE</v>
      </c>
      <c r="J31" s="174"/>
    </row>
    <row r="32" spans="1:10" x14ac:dyDescent="0.2">
      <c r="A32" s="592" t="s">
        <v>592</v>
      </c>
      <c r="B32" s="598" t="s">
        <v>616</v>
      </c>
      <c r="C32" s="598" t="s">
        <v>194</v>
      </c>
      <c r="D32" s="594" t="str">
        <f>IF(D73="UDEN FOR OMRÅDET","NOT POSSIBLE",(-0.000000000611426*B5^4+0.000000656353947*B5^3-0.000284996728231*B5^2+0.074287325446848*B5-5.10628086784494))</f>
        <v>NOT POSSIBLE</v>
      </c>
      <c r="E32" s="595" t="str">
        <f>IF(D73="UDEN FOR OMRÅDET","NOT POSSIBLE",IF($B$5&lt;89,33,((((-2.16666666666652*D32^3+17.9999999999977*D32^2-28.8333333333271*D32+43.9999999999905))))))</f>
        <v>NOT POSSIBLE</v>
      </c>
      <c r="J32" s="174"/>
    </row>
    <row r="33" spans="1:13" x14ac:dyDescent="0.2">
      <c r="A33" s="596" t="s">
        <v>593</v>
      </c>
      <c r="B33" s="597" t="s">
        <v>617</v>
      </c>
      <c r="C33" s="597" t="s">
        <v>192</v>
      </c>
      <c r="D33" s="594" t="str">
        <f>IF(D74="UDEN FOR OMRÅDET","NOT POSSIBLE",(-2.52847125E-12*B5^5+4.68657669347E-09*B5^4-3.38486827279208E-06*B5^3+0.00116642754838534*B5^2-0.177120541975483*B5+10.2818610440989))</f>
        <v>NOT POSSIBLE</v>
      </c>
      <c r="E33" s="595" t="str">
        <f>IF(D74="UDEN FOR OMRÅDET","NOT POSSIBLE",IF($B$5&lt;70.4,21,((((-0.833333*D33^3+7.5*D33^2-11.666667*D33+15))))))</f>
        <v>NOT POSSIBLE</v>
      </c>
      <c r="J33" s="174"/>
    </row>
    <row r="34" spans="1:13" x14ac:dyDescent="0.2">
      <c r="A34" s="471" t="s">
        <v>594</v>
      </c>
      <c r="B34" s="476" t="s">
        <v>618</v>
      </c>
      <c r="C34" s="476" t="s">
        <v>190</v>
      </c>
      <c r="D34" s="472" t="str">
        <f>IF(D75="UDEN FOR OMRÅDET","NOT POSSIBLE",(8.5275752E-13*B5^5-1.96247855196E-09*B5^4+1.79855952093491E-06*B5^3-0.000825168971576492*B5^2+0.197731076146651*B5-18.0380359494749
))</f>
        <v>NOT POSSIBLE</v>
      </c>
      <c r="E34" s="473" t="str">
        <f>IF(D75="UDEN FOR OMRÅDET","NOT POSSIBLE",IF($B$5&lt;89,33,((((-0.833333*D34^3+10*D34^2-14.166667*D34+20))))))</f>
        <v>NOT POSSIBLE</v>
      </c>
      <c r="J34" s="174"/>
    </row>
    <row r="35" spans="1:13" x14ac:dyDescent="0.2">
      <c r="A35" s="474" t="s">
        <v>595</v>
      </c>
      <c r="B35" s="475" t="s">
        <v>617</v>
      </c>
      <c r="C35" s="475" t="s">
        <v>192</v>
      </c>
      <c r="D35" s="472" t="str">
        <f>IF(D76="UDEN FOR OMRÅDET","NOT POSSIBLE",(-2.52847125E-12*B5^5+4.68657669347E-09*B5^4-3.38486827279208E-06*B5^3+0.00116642754838534*B5^2-0.177120541975483*B5+10.2818610440989))</f>
        <v>NOT POSSIBLE</v>
      </c>
      <c r="E35" s="473" t="str">
        <f>IF(D76="UDEN FOR OMRÅDET","NOT POSSIBLE",IF($B$5&lt;70.4,21,((((-0.833333*D35^3+7.5*D35^2-11.666667*D35+15))))))</f>
        <v>NOT POSSIBLE</v>
      </c>
      <c r="J35" s="174"/>
    </row>
    <row r="36" spans="1:13" ht="13.5" thickBot="1" x14ac:dyDescent="0.25">
      <c r="A36" s="477" t="s">
        <v>596</v>
      </c>
      <c r="B36" s="478" t="s">
        <v>618</v>
      </c>
      <c r="C36" s="478" t="s">
        <v>190</v>
      </c>
      <c r="D36" s="479" t="str">
        <f>IF(D77="UDEN FOR OMRÅDET","NOT POSSIBLE",(8.5275752E-13*B5^5-1.96247855196E-09*B5^4+1.79855952093491E-06*B5^3-0.000825168971576492*B5^2+0.197731076146651*B5-18.0380359494749
))</f>
        <v>NOT POSSIBLE</v>
      </c>
      <c r="E36" s="480" t="str">
        <f>IF(D77="UDEN FOR OMRÅDET","NOT POSSIBLE",IF($B$5&lt;89,33,((((-0.833333*D36^3+10*D36^2-14.166667*D36+20))))))</f>
        <v>NOT POSSIBLE</v>
      </c>
      <c r="J36" s="174"/>
    </row>
    <row r="37" spans="1:13" ht="13.5" thickTop="1" x14ac:dyDescent="0.2">
      <c r="A37" s="176"/>
      <c r="J37" s="174"/>
    </row>
    <row r="38" spans="1:13" x14ac:dyDescent="0.2">
      <c r="A38" s="176"/>
      <c r="J38" s="174"/>
    </row>
    <row r="39" spans="1:13" x14ac:dyDescent="0.2">
      <c r="A39" s="176"/>
      <c r="J39" s="174"/>
    </row>
    <row r="40" spans="1:13" x14ac:dyDescent="0.2">
      <c r="A40" s="176"/>
      <c r="J40" s="174"/>
    </row>
    <row r="41" spans="1:13" x14ac:dyDescent="0.2">
      <c r="A41" s="176"/>
      <c r="J41" s="174"/>
    </row>
    <row r="42" spans="1:13" x14ac:dyDescent="0.2">
      <c r="A42" s="176"/>
      <c r="J42" s="174"/>
    </row>
    <row r="43" spans="1:13" x14ac:dyDescent="0.2">
      <c r="A43" s="176"/>
      <c r="J43" s="174"/>
    </row>
    <row r="44" spans="1:13" x14ac:dyDescent="0.2">
      <c r="A44" s="176"/>
      <c r="J44" s="174"/>
    </row>
    <row r="45" spans="1:13" x14ac:dyDescent="0.2">
      <c r="A45" s="176"/>
      <c r="E45" s="175"/>
      <c r="J45" s="174"/>
    </row>
    <row r="46" spans="1:13" ht="13.5" thickBot="1" x14ac:dyDescent="0.25">
      <c r="A46" s="173" t="s">
        <v>127</v>
      </c>
      <c r="B46" s="481"/>
      <c r="C46" s="481"/>
      <c r="D46" s="481"/>
      <c r="E46" s="481"/>
      <c r="F46" s="481"/>
      <c r="G46" s="481"/>
      <c r="H46" s="481"/>
      <c r="I46" s="481"/>
      <c r="J46" s="171"/>
    </row>
    <row r="47" spans="1:13" ht="10.5" customHeight="1" thickTop="1" x14ac:dyDescent="0.2"/>
    <row r="48" spans="1:13" x14ac:dyDescent="0.2">
      <c r="L48" s="170"/>
      <c r="M48" s="170"/>
    </row>
    <row r="49" spans="1:4" hidden="1" x14ac:dyDescent="0.2"/>
    <row r="50" spans="1:4" ht="13.5" hidden="1" thickTop="1" x14ac:dyDescent="0.2">
      <c r="A50" s="169" t="s">
        <v>126</v>
      </c>
      <c r="B50" s="168" t="s">
        <v>0</v>
      </c>
      <c r="C50" s="168" t="s">
        <v>125</v>
      </c>
      <c r="D50" s="167" t="s">
        <v>564</v>
      </c>
    </row>
    <row r="51" spans="1:4" hidden="1" x14ac:dyDescent="0.2">
      <c r="A51" s="366" t="s">
        <v>568</v>
      </c>
      <c r="B51" s="195">
        <v>1.4</v>
      </c>
      <c r="C51" s="195">
        <v>11.5</v>
      </c>
      <c r="D51" s="482" t="str">
        <f t="shared" ref="D51:D77" si="0">IF($B$5&lt;=B51-0.001,"UDEN FOR OMRÅDET",IF($B$5&gt;=C51+0.1,"UDEN FOR OMRÅDET",$B$5))</f>
        <v>UDEN FOR OMRÅDET</v>
      </c>
    </row>
    <row r="52" spans="1:4" hidden="1" x14ac:dyDescent="0.2">
      <c r="A52" s="209" t="s">
        <v>570</v>
      </c>
      <c r="B52" s="483">
        <v>2.5</v>
      </c>
      <c r="C52" s="484">
        <v>15</v>
      </c>
      <c r="D52" s="482" t="str">
        <f t="shared" si="0"/>
        <v>UDEN FOR OMRÅDET</v>
      </c>
    </row>
    <row r="53" spans="1:4" hidden="1" x14ac:dyDescent="0.2">
      <c r="A53" s="485" t="s">
        <v>571</v>
      </c>
      <c r="B53" s="483">
        <v>3.9</v>
      </c>
      <c r="C53" s="484">
        <v>24</v>
      </c>
      <c r="D53" s="482" t="str">
        <f t="shared" si="0"/>
        <v>UDEN FOR OMRÅDET</v>
      </c>
    </row>
    <row r="54" spans="1:4" hidden="1" x14ac:dyDescent="0.2">
      <c r="A54" s="209" t="s">
        <v>572</v>
      </c>
      <c r="B54" s="483">
        <v>3</v>
      </c>
      <c r="C54" s="484">
        <v>16</v>
      </c>
      <c r="D54" s="482" t="str">
        <f t="shared" si="0"/>
        <v>UDEN FOR OMRÅDET</v>
      </c>
    </row>
    <row r="55" spans="1:4" hidden="1" x14ac:dyDescent="0.2">
      <c r="A55" s="485" t="s">
        <v>573</v>
      </c>
      <c r="B55" s="483">
        <v>4.2</v>
      </c>
      <c r="C55" s="484">
        <v>24</v>
      </c>
      <c r="D55" s="482" t="str">
        <f t="shared" si="0"/>
        <v>UDEN FOR OMRÅDET</v>
      </c>
    </row>
    <row r="56" spans="1:4" hidden="1" x14ac:dyDescent="0.2">
      <c r="A56" s="486" t="s">
        <v>575</v>
      </c>
      <c r="B56" s="483">
        <v>4.4000000000000004</v>
      </c>
      <c r="C56" s="484">
        <v>25</v>
      </c>
      <c r="D56" s="482" t="str">
        <f t="shared" si="0"/>
        <v>UDEN FOR OMRÅDET</v>
      </c>
    </row>
    <row r="57" spans="1:4" hidden="1" x14ac:dyDescent="0.2">
      <c r="A57" s="485" t="s">
        <v>576</v>
      </c>
      <c r="B57" s="483">
        <v>6</v>
      </c>
      <c r="C57" s="484">
        <v>35</v>
      </c>
      <c r="D57" s="482" t="str">
        <f t="shared" si="0"/>
        <v>UDEN FOR OMRÅDET</v>
      </c>
    </row>
    <row r="58" spans="1:4" hidden="1" x14ac:dyDescent="0.2">
      <c r="A58" s="209" t="s">
        <v>577</v>
      </c>
      <c r="B58" s="483">
        <v>4.4000000000000004</v>
      </c>
      <c r="C58" s="484">
        <v>25</v>
      </c>
      <c r="D58" s="482" t="str">
        <f t="shared" si="0"/>
        <v>UDEN FOR OMRÅDET</v>
      </c>
    </row>
    <row r="59" spans="1:4" hidden="1" x14ac:dyDescent="0.2">
      <c r="A59" s="485" t="s">
        <v>578</v>
      </c>
      <c r="B59" s="483">
        <v>6</v>
      </c>
      <c r="C59" s="484">
        <v>35</v>
      </c>
      <c r="D59" s="482" t="str">
        <f t="shared" si="0"/>
        <v>UDEN FOR OMRÅDET</v>
      </c>
    </row>
    <row r="60" spans="1:4" hidden="1" x14ac:dyDescent="0.2">
      <c r="A60" s="486" t="s">
        <v>579</v>
      </c>
      <c r="B60" s="483">
        <v>5.3</v>
      </c>
      <c r="C60" s="484">
        <v>34</v>
      </c>
      <c r="D60" s="482" t="str">
        <f t="shared" si="0"/>
        <v>UDEN FOR OMRÅDET</v>
      </c>
    </row>
    <row r="61" spans="1:4" hidden="1" x14ac:dyDescent="0.2">
      <c r="A61" s="485" t="s">
        <v>580</v>
      </c>
      <c r="B61" s="483">
        <v>7</v>
      </c>
      <c r="C61" s="484">
        <v>43</v>
      </c>
      <c r="D61" s="482" t="str">
        <f t="shared" si="0"/>
        <v>UDEN FOR OMRÅDET</v>
      </c>
    </row>
    <row r="62" spans="1:4" hidden="1" x14ac:dyDescent="0.2">
      <c r="A62" s="209" t="s">
        <v>581</v>
      </c>
      <c r="B62" s="483">
        <v>5.3</v>
      </c>
      <c r="C62" s="484">
        <v>34</v>
      </c>
      <c r="D62" s="482" t="str">
        <f t="shared" si="0"/>
        <v>UDEN FOR OMRÅDET</v>
      </c>
    </row>
    <row r="63" spans="1:4" hidden="1" x14ac:dyDescent="0.2">
      <c r="A63" s="485" t="s">
        <v>582</v>
      </c>
      <c r="B63" s="483">
        <v>7</v>
      </c>
      <c r="C63" s="484">
        <v>43</v>
      </c>
      <c r="D63" s="482" t="str">
        <f t="shared" si="0"/>
        <v>UDEN FOR OMRÅDET</v>
      </c>
    </row>
    <row r="64" spans="1:4" hidden="1" x14ac:dyDescent="0.2">
      <c r="A64" s="486" t="s">
        <v>583</v>
      </c>
      <c r="B64" s="483">
        <v>12.1</v>
      </c>
      <c r="C64" s="484">
        <v>68</v>
      </c>
      <c r="D64" s="482">
        <f t="shared" si="0"/>
        <v>50</v>
      </c>
    </row>
    <row r="65" spans="1:4" hidden="1" x14ac:dyDescent="0.2">
      <c r="A65" s="485" t="s">
        <v>584</v>
      </c>
      <c r="B65" s="483">
        <v>14.8</v>
      </c>
      <c r="C65" s="484">
        <v>90</v>
      </c>
      <c r="D65" s="482">
        <f t="shared" si="0"/>
        <v>50</v>
      </c>
    </row>
    <row r="66" spans="1:4" hidden="1" x14ac:dyDescent="0.2">
      <c r="A66" s="209" t="s">
        <v>585</v>
      </c>
      <c r="B66" s="483">
        <v>12.1</v>
      </c>
      <c r="C66" s="484">
        <v>68</v>
      </c>
      <c r="D66" s="482">
        <f t="shared" si="0"/>
        <v>50</v>
      </c>
    </row>
    <row r="67" spans="1:4" hidden="1" x14ac:dyDescent="0.2">
      <c r="A67" s="485" t="s">
        <v>586</v>
      </c>
      <c r="B67" s="483">
        <v>14.8</v>
      </c>
      <c r="C67" s="484">
        <v>90</v>
      </c>
      <c r="D67" s="482">
        <f t="shared" si="0"/>
        <v>50</v>
      </c>
    </row>
    <row r="68" spans="1:4" hidden="1" x14ac:dyDescent="0.2">
      <c r="A68" s="486" t="s">
        <v>587</v>
      </c>
      <c r="B68" s="483">
        <v>18.5</v>
      </c>
      <c r="C68" s="484">
        <v>110</v>
      </c>
      <c r="D68" s="482">
        <f t="shared" si="0"/>
        <v>50</v>
      </c>
    </row>
    <row r="69" spans="1:4" hidden="1" x14ac:dyDescent="0.2">
      <c r="A69" s="485" t="s">
        <v>588</v>
      </c>
      <c r="B69" s="483">
        <v>23</v>
      </c>
      <c r="C69" s="484">
        <v>135</v>
      </c>
      <c r="D69" s="482">
        <f t="shared" si="0"/>
        <v>50</v>
      </c>
    </row>
    <row r="70" spans="1:4" hidden="1" x14ac:dyDescent="0.2">
      <c r="A70" s="486" t="s">
        <v>589</v>
      </c>
      <c r="B70" s="483">
        <v>25.6</v>
      </c>
      <c r="C70" s="484">
        <v>148</v>
      </c>
      <c r="D70" s="482">
        <f t="shared" si="0"/>
        <v>50</v>
      </c>
    </row>
    <row r="71" spans="1:4" hidden="1" x14ac:dyDescent="0.2">
      <c r="A71" s="485" t="s">
        <v>590</v>
      </c>
      <c r="B71" s="483">
        <v>32</v>
      </c>
      <c r="C71" s="484">
        <v>195</v>
      </c>
      <c r="D71" s="482">
        <f t="shared" si="0"/>
        <v>50</v>
      </c>
    </row>
    <row r="72" spans="1:4" hidden="1" x14ac:dyDescent="0.2">
      <c r="A72" s="486" t="s">
        <v>591</v>
      </c>
      <c r="B72" s="483">
        <v>95</v>
      </c>
      <c r="C72" s="484">
        <v>210</v>
      </c>
      <c r="D72" s="482" t="str">
        <f t="shared" si="0"/>
        <v>UDEN FOR OMRÅDET</v>
      </c>
    </row>
    <row r="73" spans="1:4" hidden="1" x14ac:dyDescent="0.2">
      <c r="A73" s="485" t="s">
        <v>592</v>
      </c>
      <c r="B73" s="483">
        <v>130</v>
      </c>
      <c r="C73" s="484">
        <v>280</v>
      </c>
      <c r="D73" s="482" t="str">
        <f t="shared" si="0"/>
        <v>UDEN FOR OMRÅDET</v>
      </c>
    </row>
    <row r="74" spans="1:4" hidden="1" x14ac:dyDescent="0.2">
      <c r="A74" s="486" t="s">
        <v>593</v>
      </c>
      <c r="B74" s="483">
        <v>190</v>
      </c>
      <c r="C74" s="484">
        <v>475</v>
      </c>
      <c r="D74" s="482" t="str">
        <f t="shared" si="0"/>
        <v>UDEN FOR OMRÅDET</v>
      </c>
    </row>
    <row r="75" spans="1:4" hidden="1" x14ac:dyDescent="0.2">
      <c r="A75" s="485" t="s">
        <v>594</v>
      </c>
      <c r="B75" s="483">
        <v>245</v>
      </c>
      <c r="C75" s="484">
        <v>600</v>
      </c>
      <c r="D75" s="482" t="str">
        <f t="shared" si="0"/>
        <v>UDEN FOR OMRÅDET</v>
      </c>
    </row>
    <row r="76" spans="1:4" hidden="1" x14ac:dyDescent="0.2">
      <c r="A76" s="486" t="s">
        <v>595</v>
      </c>
      <c r="B76" s="483">
        <v>190</v>
      </c>
      <c r="C76" s="484">
        <v>475</v>
      </c>
      <c r="D76" s="482" t="str">
        <f t="shared" si="0"/>
        <v>UDEN FOR OMRÅDET</v>
      </c>
    </row>
    <row r="77" spans="1:4" hidden="1" x14ac:dyDescent="0.2">
      <c r="A77" s="485" t="s">
        <v>596</v>
      </c>
      <c r="B77" s="483">
        <v>245</v>
      </c>
      <c r="C77" s="484">
        <v>600</v>
      </c>
      <c r="D77" s="482" t="str">
        <f t="shared" si="0"/>
        <v>UDEN FOR OMRÅDET</v>
      </c>
    </row>
    <row r="78" spans="1:4" hidden="1" x14ac:dyDescent="0.2"/>
    <row r="79" spans="1:4" hidden="1" x14ac:dyDescent="0.2"/>
  </sheetData>
  <sheetProtection sheet="1" objects="1" scenarios="1"/>
  <mergeCells count="5">
    <mergeCell ref="A1:J1"/>
    <mergeCell ref="A2:J2"/>
    <mergeCell ref="A8:A9"/>
    <mergeCell ref="B8:C8"/>
    <mergeCell ref="D8:E8"/>
  </mergeCells>
  <pageMargins left="0.78740157480314965" right="0.39370078740157483" top="0.98425196850393704" bottom="0.98425196850393704" header="0.51181102362204722" footer="0.51181102362204722"/>
  <pageSetup paperSize="9" scale="105" orientation="landscape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7AD2D6-826E-4875-B7D4-031A1463C198}">
  <dimension ref="A1:M37"/>
  <sheetViews>
    <sheetView showGridLines="0" zoomScaleNormal="100" workbookViewId="0">
      <selection activeCell="H44" sqref="H44"/>
    </sheetView>
  </sheetViews>
  <sheetFormatPr defaultColWidth="8.85546875" defaultRowHeight="12.75" x14ac:dyDescent="0.2"/>
  <cols>
    <col min="1" max="1" width="23.7109375" style="162" customWidth="1"/>
    <col min="2" max="2" width="14.28515625" style="162" customWidth="1"/>
    <col min="3" max="3" width="15.7109375" style="162" customWidth="1"/>
    <col min="4" max="4" width="16.42578125" style="162" customWidth="1"/>
    <col min="5" max="5" width="15.7109375" style="162" customWidth="1"/>
    <col min="6" max="7" width="10.7109375" style="162" customWidth="1"/>
    <col min="8" max="8" width="7.140625" style="162" customWidth="1"/>
    <col min="9" max="9" width="10.7109375" style="162" customWidth="1"/>
    <col min="10" max="10" width="20.42578125" style="162" bestFit="1" customWidth="1"/>
    <col min="11" max="13" width="8.85546875" style="162"/>
    <col min="14" max="15" width="20.28515625" style="162" bestFit="1" customWidth="1"/>
    <col min="16" max="16384" width="8.85546875" style="162"/>
  </cols>
  <sheetData>
    <row r="1" spans="1:11" ht="21" thickTop="1" x14ac:dyDescent="0.3">
      <c r="A1" s="495" t="s">
        <v>140</v>
      </c>
      <c r="B1" s="496"/>
      <c r="C1" s="496"/>
      <c r="D1" s="496"/>
      <c r="E1" s="496"/>
      <c r="F1" s="496"/>
      <c r="G1" s="496"/>
      <c r="H1" s="496"/>
      <c r="I1" s="496"/>
      <c r="J1" s="191"/>
      <c r="K1" s="190"/>
    </row>
    <row r="2" spans="1:11" ht="21" thickBot="1" x14ac:dyDescent="0.35">
      <c r="A2" s="498" t="s">
        <v>141</v>
      </c>
      <c r="B2" s="507"/>
      <c r="C2" s="507"/>
      <c r="D2" s="507"/>
      <c r="E2" s="507"/>
      <c r="F2" s="507"/>
      <c r="G2" s="507"/>
      <c r="H2" s="507"/>
      <c r="I2" s="507"/>
      <c r="J2" s="500"/>
      <c r="K2" s="190"/>
    </row>
    <row r="3" spans="1:11" ht="13.5" thickTop="1" x14ac:dyDescent="0.2">
      <c r="A3" s="189"/>
      <c r="B3" s="188"/>
      <c r="C3" s="188"/>
      <c r="D3" s="187"/>
      <c r="E3" s="187"/>
      <c r="F3" s="187"/>
      <c r="G3" s="187"/>
      <c r="H3" s="187"/>
      <c r="I3" s="187"/>
      <c r="J3" s="186"/>
    </row>
    <row r="4" spans="1:11" ht="13.5" thickBot="1" x14ac:dyDescent="0.25">
      <c r="A4" s="176"/>
      <c r="B4" s="120" t="s">
        <v>1</v>
      </c>
      <c r="D4" s="183"/>
      <c r="J4" s="174"/>
    </row>
    <row r="5" spans="1:11" ht="13.5" thickBot="1" x14ac:dyDescent="0.25">
      <c r="A5" s="7" t="s">
        <v>139</v>
      </c>
      <c r="B5" s="185">
        <v>2</v>
      </c>
      <c r="C5" s="184" t="s">
        <v>138</v>
      </c>
      <c r="D5" s="183"/>
      <c r="G5" s="183"/>
      <c r="J5" s="174"/>
    </row>
    <row r="6" spans="1:11" x14ac:dyDescent="0.2">
      <c r="A6" s="176"/>
      <c r="G6" s="183"/>
      <c r="J6" s="174"/>
    </row>
    <row r="7" spans="1:11" ht="13.5" thickBot="1" x14ac:dyDescent="0.25">
      <c r="A7" s="176"/>
      <c r="J7" s="174"/>
    </row>
    <row r="8" spans="1:11" ht="13.5" thickTop="1" x14ac:dyDescent="0.2">
      <c r="A8" s="505" t="s">
        <v>137</v>
      </c>
      <c r="B8" s="503" t="s">
        <v>136</v>
      </c>
      <c r="C8" s="503"/>
      <c r="D8" s="503" t="s">
        <v>135</v>
      </c>
      <c r="E8" s="504"/>
      <c r="J8" s="174"/>
    </row>
    <row r="9" spans="1:11" x14ac:dyDescent="0.2">
      <c r="A9" s="508"/>
      <c r="B9" s="97" t="s">
        <v>134</v>
      </c>
      <c r="C9" s="97" t="s">
        <v>133</v>
      </c>
      <c r="D9" s="182" t="s">
        <v>132</v>
      </c>
      <c r="E9" s="181" t="s">
        <v>131</v>
      </c>
      <c r="J9" s="174"/>
    </row>
    <row r="10" spans="1:11" x14ac:dyDescent="0.2">
      <c r="A10" s="192" t="s">
        <v>144</v>
      </c>
      <c r="B10" s="97" t="s">
        <v>146</v>
      </c>
      <c r="C10" s="97" t="s">
        <v>143</v>
      </c>
      <c r="D10" s="178">
        <f>IF(D30="UDEN FOR OMRÅDET","NOT POSSIBLE",(-0.181354607359935*B5^4+1.41090386603382*B5^3-3.64482402325719*B5^2+5.67285237399046*B5-1.15658993284099))</f>
        <v>3.9953759326227698</v>
      </c>
      <c r="E10" s="177">
        <f>IF(D30="UDEN FOR OMRÅDET","NOT POSSIBLE",IF($B$5&lt;0.5,30,((((0.8333333333*D10^3-5*D10^2+14.1666666667*D10+20))))))</f>
        <v>49.934599204432189</v>
      </c>
      <c r="J10" s="174"/>
    </row>
    <row r="11" spans="1:11" x14ac:dyDescent="0.2">
      <c r="A11" s="193" t="s">
        <v>145</v>
      </c>
      <c r="B11" s="194" t="s">
        <v>147</v>
      </c>
      <c r="C11" s="194" t="s">
        <v>143</v>
      </c>
      <c r="D11" s="178">
        <f>IF(D31="UDEN FOR OMRÅDET","NOT POSSIBLE",(-0.00555621115594818*B5^4+0.0982485463220826*B5^3-0.538682672364846*B5^2+2.00721016887353*B5-0.378946489031001))</f>
        <v>2.1778321513381651</v>
      </c>
      <c r="E11" s="177">
        <f>IF(D31="UDEN FOR OMRÅDET","NOT POSSIBLE",IF($B$5&lt;0.5,30,((((0.8333333333*D11^3-5*D11^2+14.1666666667*D11+20))))))</f>
        <v>35.745653807544585</v>
      </c>
      <c r="J11" s="174"/>
    </row>
    <row r="12" spans="1:11" x14ac:dyDescent="0.2">
      <c r="A12" s="192" t="s">
        <v>142</v>
      </c>
      <c r="B12" s="97" t="s">
        <v>148</v>
      </c>
      <c r="C12" s="97" t="s">
        <v>143</v>
      </c>
      <c r="D12" s="178">
        <f>IF(D32="UDEN FOR OMRÅDET","NOT POSSIBLE",(-0.000125289924285177*B5^4+0.00412129040503117*B5^3-0.0601058038750963*B5^2+0.760104399077903*B5-0.309919831282841))</f>
        <v>1.0008314358242663</v>
      </c>
      <c r="E12" s="177">
        <f>IF(D32="UDEN FOR OMRÅDET","NOT POSSIBLE",IF($B$5&lt;0.5,30,((((0.8333333333*D12^3-5*D12^2+14.1666666667*D12+20))))))</f>
        <v>30.005541177760193</v>
      </c>
      <c r="J12" s="174"/>
    </row>
    <row r="13" spans="1:11" x14ac:dyDescent="0.2">
      <c r="A13" s="196" t="s">
        <v>123</v>
      </c>
      <c r="B13" s="197" t="s">
        <v>149</v>
      </c>
      <c r="C13" s="197" t="s">
        <v>130</v>
      </c>
      <c r="D13" s="178" t="str">
        <f>IF(D33="UDEN FOR OMRÅDET","NOT POSSIBLE",(-0.0000111185798751662*B5^4+0.000656379565074167*B5^3-0.0165030623184602*B5^2+0.357303710444611*B5-0.460502191228367))</f>
        <v>NOT POSSIBLE</v>
      </c>
      <c r="E13" s="177" t="str">
        <f>IF(D33="UDEN FOR OMRÅDET","NOT POSSIBLE",IF($B$5&lt;6.2,19,((((0.6667*D13^3-0.5*D13^2-1.1667*D13+20))))))</f>
        <v>NOT POSSIBLE</v>
      </c>
      <c r="J13" s="174"/>
    </row>
    <row r="14" spans="1:11" x14ac:dyDescent="0.2">
      <c r="A14" s="180" t="s">
        <v>122</v>
      </c>
      <c r="B14" s="179" t="s">
        <v>150</v>
      </c>
      <c r="C14" s="179" t="s">
        <v>128</v>
      </c>
      <c r="D14" s="178" t="str">
        <f>IF(D34="UDEN FOR OMRÅDET","NOT POSSIBLE",(0.00000407*B5^4-0.00036799*B5^3+0.01016138*B5^2+0.03167768*B5+0.12121138))</f>
        <v>NOT POSSIBLE</v>
      </c>
      <c r="E14" s="177" t="str">
        <f>IF(D34="UDEN FOR OMRÅDET","NOT POSSIBLE",IF($B$5&lt;9.1,30,((((2.6667*D14^3-15.5*D14^2+29.833*D14+13))))))</f>
        <v>NOT POSSIBLE</v>
      </c>
      <c r="J14" s="174"/>
    </row>
    <row r="15" spans="1:11" x14ac:dyDescent="0.2">
      <c r="A15" s="196" t="s">
        <v>121</v>
      </c>
      <c r="B15" s="197" t="s">
        <v>151</v>
      </c>
      <c r="C15" s="197" t="s">
        <v>129</v>
      </c>
      <c r="D15" s="178" t="str">
        <f>IF(D35="UDEN FOR OMRÅDET","NOT POSSIBLE",(0.00000156*B5^4-0.0001838*B5^3+0.00652234*B5^2+0.0239868*B5+0.17174038))</f>
        <v>NOT POSSIBLE</v>
      </c>
      <c r="E15" s="177" t="str">
        <f>IF(D35="UDEN FOR OMRÅDET","NOT POSSIBLE",IF($B$5&lt;11,23,((((1.8245614*D15^3-9.20300752*D15^2+16.72431078*D15+13.67293233))))))</f>
        <v>NOT POSSIBLE</v>
      </c>
      <c r="J15" s="174"/>
    </row>
    <row r="16" spans="1:11" x14ac:dyDescent="0.2">
      <c r="A16" s="176"/>
      <c r="J16" s="174"/>
    </row>
    <row r="17" spans="1:13" x14ac:dyDescent="0.2">
      <c r="A17" s="176"/>
      <c r="J17" s="174"/>
    </row>
    <row r="18" spans="1:13" x14ac:dyDescent="0.2">
      <c r="A18" s="176"/>
      <c r="J18" s="174"/>
    </row>
    <row r="19" spans="1:13" x14ac:dyDescent="0.2">
      <c r="A19" s="176"/>
      <c r="J19" s="174"/>
    </row>
    <row r="20" spans="1:13" x14ac:dyDescent="0.2">
      <c r="A20" s="176"/>
      <c r="J20" s="174"/>
    </row>
    <row r="21" spans="1:13" x14ac:dyDescent="0.2">
      <c r="A21" s="176"/>
      <c r="J21" s="174"/>
    </row>
    <row r="22" spans="1:13" x14ac:dyDescent="0.2">
      <c r="A22" s="176"/>
      <c r="J22" s="174"/>
    </row>
    <row r="23" spans="1:13" x14ac:dyDescent="0.2">
      <c r="A23" s="176"/>
      <c r="J23" s="174"/>
    </row>
    <row r="24" spans="1:13" x14ac:dyDescent="0.2">
      <c r="A24" s="176"/>
      <c r="E24" s="175"/>
      <c r="J24" s="174"/>
    </row>
    <row r="25" spans="1:13" ht="13.5" thickBot="1" x14ac:dyDescent="0.25">
      <c r="A25" s="173" t="s">
        <v>127</v>
      </c>
      <c r="B25" s="172"/>
      <c r="C25" s="172"/>
      <c r="D25" s="172"/>
      <c r="E25" s="172"/>
      <c r="F25" s="172"/>
      <c r="G25" s="172"/>
      <c r="H25" s="172"/>
      <c r="I25" s="172"/>
      <c r="J25" s="171"/>
    </row>
    <row r="26" spans="1:13" ht="10.5" customHeight="1" thickTop="1" x14ac:dyDescent="0.2"/>
    <row r="27" spans="1:13" x14ac:dyDescent="0.2">
      <c r="L27" s="170"/>
      <c r="M27" s="170"/>
    </row>
    <row r="28" spans="1:13" ht="13.5" hidden="1" thickBot="1" x14ac:dyDescent="0.25"/>
    <row r="29" spans="1:13" ht="13.5" hidden="1" thickTop="1" x14ac:dyDescent="0.2">
      <c r="A29" s="169" t="s">
        <v>126</v>
      </c>
      <c r="B29" s="168" t="s">
        <v>0</v>
      </c>
      <c r="C29" s="168" t="s">
        <v>125</v>
      </c>
      <c r="D29" s="167" t="s">
        <v>124</v>
      </c>
    </row>
    <row r="30" spans="1:13" hidden="1" x14ac:dyDescent="0.2">
      <c r="A30" s="192" t="s">
        <v>144</v>
      </c>
      <c r="B30" s="195">
        <v>0.52500000000000002</v>
      </c>
      <c r="C30" s="195">
        <v>2</v>
      </c>
      <c r="D30" s="163">
        <f t="shared" ref="D30:D32" si="0">IF($B$5&lt;=B30-0.001,"UDEN FOR OMRÅDET",IF($B$5&gt;=C30+0.1,"UDEN FOR OMRÅDET",$B$5))</f>
        <v>2</v>
      </c>
    </row>
    <row r="31" spans="1:13" hidden="1" x14ac:dyDescent="0.2">
      <c r="A31" s="192" t="s">
        <v>145</v>
      </c>
      <c r="B31" s="195">
        <v>0.85</v>
      </c>
      <c r="C31" s="195">
        <v>4.0999999999999996</v>
      </c>
      <c r="D31" s="163">
        <f t="shared" si="0"/>
        <v>2</v>
      </c>
    </row>
    <row r="32" spans="1:13" hidden="1" x14ac:dyDescent="0.2">
      <c r="A32" s="192" t="s">
        <v>142</v>
      </c>
      <c r="B32" s="195">
        <v>2</v>
      </c>
      <c r="C32" s="195">
        <v>9.5</v>
      </c>
      <c r="D32" s="163">
        <f t="shared" si="0"/>
        <v>2</v>
      </c>
    </row>
    <row r="33" spans="1:4" hidden="1" x14ac:dyDescent="0.2">
      <c r="A33" s="166" t="s">
        <v>123</v>
      </c>
      <c r="B33" s="165">
        <v>3.5</v>
      </c>
      <c r="C33" s="164">
        <v>24</v>
      </c>
      <c r="D33" s="163" t="str">
        <f>IF($B$5&lt;=B33-0.001,"UDEN FOR OMRÅDET",IF($B$5&gt;=C33+0.1,"UDEN FOR OMRÅDET",$B$5))</f>
        <v>UDEN FOR OMRÅDET</v>
      </c>
    </row>
    <row r="34" spans="1:4" hidden="1" x14ac:dyDescent="0.2">
      <c r="A34" s="166" t="s">
        <v>122</v>
      </c>
      <c r="B34" s="165">
        <v>5.95</v>
      </c>
      <c r="C34" s="164">
        <v>35</v>
      </c>
      <c r="D34" s="163" t="str">
        <f>IF($B$5&lt;=B34-0.001,"UDEN FOR OMRÅDET",IF($B$5&gt;=C34+0.1,"UDEN FOR OMRÅDET",$B$5))</f>
        <v>UDEN FOR OMRÅDET</v>
      </c>
    </row>
    <row r="35" spans="1:4" hidden="1" x14ac:dyDescent="0.2">
      <c r="A35" s="166" t="s">
        <v>121</v>
      </c>
      <c r="B35" s="165">
        <v>7</v>
      </c>
      <c r="C35" s="164">
        <v>43</v>
      </c>
      <c r="D35" s="163" t="str">
        <f>IF($B$5&lt;=B35-0.001,"UDEN FOR OMRÅDET",IF($B$5&gt;=C35+0.1,"UDEN FOR OMRÅDET",$B$5))</f>
        <v>UDEN FOR OMRÅDET</v>
      </c>
    </row>
    <row r="36" spans="1:4" hidden="1" x14ac:dyDescent="0.2"/>
    <row r="37" spans="1:4" hidden="1" x14ac:dyDescent="0.2"/>
  </sheetData>
  <sheetProtection sheet="1" objects="1" scenarios="1"/>
  <mergeCells count="5">
    <mergeCell ref="A1:I1"/>
    <mergeCell ref="A2:J2"/>
    <mergeCell ref="A8:A9"/>
    <mergeCell ref="B8:C8"/>
    <mergeCell ref="D8:E8"/>
  </mergeCells>
  <pageMargins left="0.78740157480314965" right="0.39370078740157483" top="0.98425196850393704" bottom="0.98425196850393704" header="0.51181102362204722" footer="0.51181102362204722"/>
  <pageSetup paperSize="9" scale="105" orientation="landscape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24400C-8A55-4217-B7C1-49023AC08E43}">
  <dimension ref="A1:AD115"/>
  <sheetViews>
    <sheetView showGridLines="0" zoomScaleNormal="100" workbookViewId="0">
      <selection activeCell="AU99" sqref="AU99"/>
    </sheetView>
  </sheetViews>
  <sheetFormatPr defaultColWidth="11.140625" defaultRowHeight="12.75" x14ac:dyDescent="0.2"/>
  <cols>
    <col min="1" max="1" width="4.7109375" customWidth="1"/>
    <col min="2" max="2" width="13.85546875" customWidth="1"/>
    <col min="3" max="3" width="9.7109375" customWidth="1"/>
    <col min="4" max="5" width="9.42578125" customWidth="1"/>
    <col min="6" max="7" width="10.7109375" customWidth="1"/>
    <col min="8" max="8" width="8.7109375" customWidth="1"/>
    <col min="9" max="13" width="10.7109375" customWidth="1"/>
    <col min="14" max="14" width="8.7109375" customWidth="1"/>
    <col min="15" max="15" width="8.7109375" hidden="1" customWidth="1"/>
    <col min="16" max="43" width="0" hidden="1" customWidth="1"/>
  </cols>
  <sheetData>
    <row r="1" spans="1:30" ht="21" thickTop="1" x14ac:dyDescent="0.3">
      <c r="A1" s="495" t="s">
        <v>462</v>
      </c>
      <c r="B1" s="496"/>
      <c r="C1" s="496"/>
      <c r="D1" s="496"/>
      <c r="E1" s="496"/>
      <c r="F1" s="496"/>
      <c r="G1" s="496"/>
      <c r="H1" s="496"/>
      <c r="I1" s="496"/>
      <c r="J1" s="496"/>
      <c r="K1" s="496"/>
      <c r="L1" s="496"/>
      <c r="M1" s="161"/>
      <c r="N1" s="211"/>
      <c r="O1" s="334"/>
      <c r="P1" s="333"/>
      <c r="Q1" s="333"/>
      <c r="R1" s="333"/>
      <c r="S1" s="333"/>
      <c r="T1" s="332"/>
    </row>
    <row r="2" spans="1:30" ht="20.25" x14ac:dyDescent="0.3">
      <c r="A2" s="541" t="s">
        <v>461</v>
      </c>
      <c r="B2" s="542"/>
      <c r="C2" s="542"/>
      <c r="D2" s="542"/>
      <c r="E2" s="542"/>
      <c r="F2" s="542"/>
      <c r="G2" s="542"/>
      <c r="H2" s="542"/>
      <c r="I2" s="542"/>
      <c r="J2" s="542"/>
      <c r="K2" s="542"/>
      <c r="L2" s="542"/>
      <c r="M2" s="542"/>
      <c r="N2" s="543"/>
      <c r="O2" s="331"/>
      <c r="T2" s="214"/>
    </row>
    <row r="3" spans="1:30" ht="18.75" thickBot="1" x14ac:dyDescent="0.3">
      <c r="A3" s="330"/>
      <c r="N3" s="2"/>
      <c r="Q3" s="122"/>
      <c r="R3" s="9"/>
      <c r="S3" s="9"/>
      <c r="T3" s="329"/>
      <c r="V3" s="122"/>
      <c r="W3" s="9"/>
      <c r="X3" s="9"/>
      <c r="Y3" s="10"/>
    </row>
    <row r="4" spans="1:30" ht="13.5" thickBot="1" x14ac:dyDescent="0.25">
      <c r="A4" s="3"/>
      <c r="B4" s="4"/>
      <c r="D4" s="120" t="s">
        <v>1</v>
      </c>
      <c r="F4" s="328" t="s">
        <v>64</v>
      </c>
      <c r="G4" s="327"/>
      <c r="H4" s="327"/>
      <c r="I4" s="326"/>
      <c r="J4" s="325" t="s">
        <v>16</v>
      </c>
      <c r="K4" s="325" t="s">
        <v>13</v>
      </c>
      <c r="L4" s="325" t="s">
        <v>55</v>
      </c>
      <c r="M4" s="325" t="s">
        <v>55</v>
      </c>
      <c r="N4" s="324" t="s">
        <v>56</v>
      </c>
      <c r="Q4" s="122"/>
      <c r="R4" s="122"/>
      <c r="S4" s="122"/>
      <c r="T4" s="282"/>
      <c r="U4" s="122"/>
      <c r="V4" s="122"/>
      <c r="W4" s="122"/>
      <c r="X4" s="122"/>
      <c r="Y4" s="122"/>
      <c r="Z4" s="122"/>
    </row>
    <row r="5" spans="1:30" ht="13.5" thickBot="1" x14ac:dyDescent="0.25">
      <c r="A5" s="3"/>
      <c r="B5" s="4" t="s">
        <v>3</v>
      </c>
      <c r="D5" s="306">
        <v>1000</v>
      </c>
      <c r="E5" s="120" t="s">
        <v>188</v>
      </c>
      <c r="F5" s="323" t="s">
        <v>54</v>
      </c>
      <c r="G5" s="322"/>
      <c r="H5" s="322"/>
      <c r="I5" s="321"/>
      <c r="J5" s="320" t="s">
        <v>445</v>
      </c>
      <c r="K5" s="320" t="s">
        <v>9</v>
      </c>
      <c r="L5" s="320" t="s">
        <v>403</v>
      </c>
      <c r="M5" s="320" t="s">
        <v>402</v>
      </c>
      <c r="N5" s="319"/>
      <c r="Q5" s="122"/>
      <c r="R5" s="122"/>
      <c r="S5" s="122"/>
      <c r="T5" s="282"/>
      <c r="U5" s="122"/>
      <c r="V5" s="122"/>
      <c r="W5" s="122"/>
      <c r="X5" s="122"/>
      <c r="Y5" s="122"/>
      <c r="Z5" s="122"/>
    </row>
    <row r="6" spans="1:30" ht="13.5" thickBot="1" x14ac:dyDescent="0.25">
      <c r="A6" s="3"/>
      <c r="B6" s="17"/>
      <c r="C6" s="120"/>
      <c r="D6" s="120"/>
      <c r="F6" s="4"/>
      <c r="G6" s="4"/>
      <c r="H6" s="4"/>
      <c r="I6" s="4"/>
      <c r="J6" s="120"/>
      <c r="K6" s="120"/>
      <c r="L6" s="120"/>
      <c r="M6" s="120"/>
      <c r="N6" s="296"/>
      <c r="Q6" s="122"/>
      <c r="R6" s="122"/>
      <c r="S6" s="122"/>
      <c r="T6" s="282"/>
      <c r="U6" s="122"/>
      <c r="V6" s="122"/>
      <c r="W6" s="122"/>
      <c r="X6" s="122"/>
      <c r="Y6" s="122"/>
      <c r="Z6" s="122"/>
      <c r="AD6" s="17"/>
    </row>
    <row r="7" spans="1:30" ht="13.5" thickBot="1" x14ac:dyDescent="0.25">
      <c r="A7" s="3"/>
      <c r="B7" s="318" t="s">
        <v>460</v>
      </c>
      <c r="C7" s="317" t="s">
        <v>459</v>
      </c>
      <c r="D7" s="316" t="s">
        <v>458</v>
      </c>
      <c r="F7" s="312" t="s">
        <v>57</v>
      </c>
      <c r="G7" s="311"/>
      <c r="H7" s="311"/>
      <c r="I7" s="311"/>
      <c r="J7" s="310">
        <f>VLOOKUP($D$13,$B$33:$N$40,7)</f>
        <v>1020</v>
      </c>
      <c r="K7" s="310">
        <f>VLOOKUP($D$13,$B$33:$N$40,8)</f>
        <v>12</v>
      </c>
      <c r="L7" s="310" t="str">
        <f>VLOOKUP($D$13,$B$33:$N$40,9)</f>
        <v>50-33089</v>
      </c>
      <c r="M7" s="310" t="str">
        <f>VLOOKUP($D$13,$B$33:$N$40,10)</f>
        <v>49-33089</v>
      </c>
      <c r="N7" s="309">
        <f>J7/D5-1</f>
        <v>2.0000000000000018E-2</v>
      </c>
      <c r="Q7" s="122"/>
      <c r="R7" s="122"/>
      <c r="S7" s="122"/>
      <c r="T7" s="282"/>
      <c r="U7" s="122"/>
      <c r="V7" s="122"/>
      <c r="W7" s="122"/>
      <c r="X7" s="122"/>
      <c r="Y7" s="122"/>
      <c r="Z7" s="122"/>
      <c r="AD7" s="17"/>
    </row>
    <row r="8" spans="1:30" ht="13.5" thickBot="1" x14ac:dyDescent="0.25">
      <c r="A8" s="3"/>
      <c r="B8" s="315" t="s">
        <v>457</v>
      </c>
      <c r="C8" s="97" t="s">
        <v>456</v>
      </c>
      <c r="D8" s="280" t="s">
        <v>455</v>
      </c>
      <c r="F8" s="4"/>
      <c r="G8" s="4"/>
      <c r="H8" s="4"/>
      <c r="I8" s="4"/>
      <c r="J8" s="120"/>
      <c r="K8" s="120"/>
      <c r="L8" s="120"/>
      <c r="M8" s="120"/>
      <c r="N8" s="296"/>
      <c r="Q8" s="122"/>
      <c r="R8" s="122"/>
      <c r="S8" s="122"/>
      <c r="T8" s="282"/>
      <c r="U8" s="122"/>
      <c r="V8" s="122"/>
      <c r="W8" s="122"/>
      <c r="X8" s="122"/>
      <c r="Y8" s="122"/>
      <c r="Z8" s="122"/>
    </row>
    <row r="9" spans="1:30" ht="13.5" thickBot="1" x14ac:dyDescent="0.25">
      <c r="A9" s="3"/>
      <c r="B9" s="314" t="s">
        <v>454</v>
      </c>
      <c r="C9" s="313" t="s">
        <v>453</v>
      </c>
      <c r="D9" s="257" t="s">
        <v>452</v>
      </c>
      <c r="F9" s="312" t="s">
        <v>58</v>
      </c>
      <c r="G9" s="311"/>
      <c r="H9" s="311"/>
      <c r="I9" s="311"/>
      <c r="J9" s="310">
        <f>VLOOKUP($D$13,$B$33:$N$40,3)</f>
        <v>861</v>
      </c>
      <c r="K9" s="310">
        <f>VLOOKUP($D$13,$B$33:$N$40,4)</f>
        <v>12</v>
      </c>
      <c r="L9" s="310" t="str">
        <f>VLOOKUP($D$13,$B$33:$N$40,5)</f>
        <v>50-33082</v>
      </c>
      <c r="M9" s="310" t="str">
        <f>VLOOKUP($D$13,$B$33:$N$40,6)</f>
        <v>49-33082</v>
      </c>
      <c r="N9" s="309">
        <f>J9/D5-1</f>
        <v>-0.13900000000000001</v>
      </c>
      <c r="R9" s="120"/>
      <c r="S9" s="120"/>
      <c r="T9" s="232"/>
      <c r="U9" s="120"/>
      <c r="V9" s="120"/>
      <c r="X9" s="10"/>
      <c r="Z9" s="122"/>
    </row>
    <row r="10" spans="1:30" ht="13.5" thickBot="1" x14ac:dyDescent="0.25">
      <c r="A10" s="3"/>
      <c r="B10" s="4"/>
      <c r="D10" s="12"/>
      <c r="E10" s="4"/>
      <c r="F10" s="4"/>
      <c r="G10" s="4"/>
      <c r="H10" s="4"/>
      <c r="I10" s="4"/>
      <c r="J10" s="4"/>
      <c r="K10" s="4"/>
      <c r="L10" s="4"/>
      <c r="M10" s="4"/>
      <c r="N10" s="2"/>
      <c r="P10" s="4"/>
      <c r="R10" s="12"/>
      <c r="S10" s="4"/>
      <c r="T10" s="216"/>
      <c r="V10" s="120"/>
      <c r="Z10" s="122"/>
    </row>
    <row r="11" spans="1:30" ht="13.5" thickBot="1" x14ac:dyDescent="0.25">
      <c r="A11" s="3"/>
      <c r="B11" s="4"/>
      <c r="C11" s="4"/>
      <c r="D11" s="4"/>
      <c r="E11" s="12"/>
      <c r="H11" s="530" t="s">
        <v>451</v>
      </c>
      <c r="I11" s="531"/>
      <c r="J11" s="530" t="s">
        <v>450</v>
      </c>
      <c r="K11" s="531"/>
      <c r="L11" s="530" t="s">
        <v>449</v>
      </c>
      <c r="M11" s="531"/>
      <c r="N11" s="296"/>
      <c r="P11" s="4"/>
      <c r="R11" s="120"/>
      <c r="S11" s="120"/>
      <c r="T11" s="232"/>
      <c r="U11" s="4"/>
      <c r="V11" s="120"/>
      <c r="Z11" s="122"/>
    </row>
    <row r="12" spans="1:30" ht="13.5" thickBot="1" x14ac:dyDescent="0.25">
      <c r="A12" s="3"/>
      <c r="B12" s="4" t="s">
        <v>61</v>
      </c>
      <c r="C12" s="12"/>
      <c r="D12" s="4"/>
      <c r="H12" s="308" t="s">
        <v>448</v>
      </c>
      <c r="I12" s="307" t="s">
        <v>55</v>
      </c>
      <c r="J12" s="308" t="s">
        <v>448</v>
      </c>
      <c r="K12" s="307" t="s">
        <v>55</v>
      </c>
      <c r="L12" s="308" t="s">
        <v>448</v>
      </c>
      <c r="M12" s="307" t="s">
        <v>55</v>
      </c>
      <c r="N12" s="296"/>
      <c r="P12" s="4"/>
      <c r="Q12" s="527"/>
      <c r="R12" s="527"/>
      <c r="S12" s="527"/>
      <c r="T12" s="540"/>
      <c r="U12" s="4"/>
      <c r="V12" s="527"/>
      <c r="W12" s="527"/>
      <c r="X12" s="527"/>
      <c r="Y12" s="527"/>
      <c r="Z12" s="122"/>
      <c r="AD12" s="4"/>
    </row>
    <row r="13" spans="1:30" ht="13.5" thickBot="1" x14ac:dyDescent="0.25">
      <c r="A13" s="3"/>
      <c r="B13" s="4" t="s">
        <v>59</v>
      </c>
      <c r="D13" s="306">
        <v>50</v>
      </c>
      <c r="H13" s="305">
        <f>VLOOKUP($D$13,$B$33:$N$40,1)</f>
        <v>50</v>
      </c>
      <c r="I13" s="305" t="str">
        <f>VLOOKUP($D$13,$B$33:$N$40,11)</f>
        <v>49-9066</v>
      </c>
      <c r="J13" s="305">
        <f>VLOOKUP($D$13,$B$33:$N$40,1)</f>
        <v>50</v>
      </c>
      <c r="K13" s="305" t="str">
        <f>VLOOKUP($D$13,$B$33:$N$40,12)</f>
        <v>49-9064</v>
      </c>
      <c r="L13" s="305">
        <f>VLOOKUP($D$13,$B$33:$N$40,1)</f>
        <v>50</v>
      </c>
      <c r="M13" s="305" t="str">
        <f>VLOOKUP($D$13,$B$33:$N$40,13)</f>
        <v>49-9061</v>
      </c>
      <c r="N13" s="296"/>
      <c r="Q13" s="122"/>
      <c r="R13" s="122"/>
      <c r="S13" s="528"/>
      <c r="T13" s="529"/>
      <c r="V13" s="122"/>
      <c r="W13" s="122"/>
      <c r="X13" s="528"/>
      <c r="Y13" s="528"/>
      <c r="Z13" s="122"/>
      <c r="AD13" s="4"/>
    </row>
    <row r="14" spans="1:30" ht="13.5" thickBot="1" x14ac:dyDescent="0.25">
      <c r="A14" s="3"/>
      <c r="F14" s="4"/>
      <c r="G14" s="4"/>
      <c r="H14" s="4"/>
      <c r="I14" s="4"/>
      <c r="J14" s="4"/>
      <c r="K14" s="4"/>
      <c r="L14" s="4"/>
      <c r="M14" s="4"/>
      <c r="N14" s="296"/>
      <c r="Q14" s="120"/>
      <c r="R14" s="120"/>
      <c r="S14" s="120"/>
      <c r="T14" s="232"/>
      <c r="V14" s="120"/>
      <c r="W14" s="120"/>
      <c r="X14" s="120"/>
      <c r="Y14" s="120"/>
      <c r="Z14" s="122"/>
    </row>
    <row r="15" spans="1:30" ht="13.5" thickBot="1" x14ac:dyDescent="0.25">
      <c r="A15" s="3"/>
      <c r="B15" s="530" t="s">
        <v>447</v>
      </c>
      <c r="C15" s="531"/>
      <c r="D15" s="4"/>
      <c r="E15" s="4"/>
      <c r="F15" s="4"/>
      <c r="G15" s="4"/>
      <c r="H15" s="4"/>
      <c r="I15" s="4"/>
      <c r="J15" s="4"/>
      <c r="K15" s="4"/>
      <c r="L15" s="4"/>
      <c r="M15" s="4"/>
      <c r="N15" s="296"/>
      <c r="P15" s="4"/>
      <c r="Q15" s="12"/>
      <c r="R15" s="12"/>
      <c r="S15" s="12"/>
      <c r="T15" s="216"/>
      <c r="U15" s="15"/>
      <c r="V15" s="12"/>
      <c r="W15" s="12"/>
      <c r="X15" s="12"/>
      <c r="Y15" s="12"/>
      <c r="Z15" s="122"/>
    </row>
    <row r="16" spans="1:30" x14ac:dyDescent="0.2">
      <c r="A16" s="3"/>
      <c r="B16" s="304" t="s">
        <v>60</v>
      </c>
      <c r="C16" s="303" t="s">
        <v>16</v>
      </c>
      <c r="D16" s="4"/>
      <c r="E16" s="4"/>
      <c r="F16" s="4"/>
      <c r="G16" s="4"/>
      <c r="H16" s="4"/>
      <c r="I16" s="4"/>
      <c r="J16" s="4"/>
      <c r="K16" s="4"/>
      <c r="L16" s="4"/>
      <c r="M16" s="4"/>
      <c r="N16" s="296"/>
      <c r="P16" s="4"/>
      <c r="Q16" s="12"/>
      <c r="R16" s="12"/>
      <c r="S16" s="12"/>
      <c r="T16" s="216"/>
      <c r="U16" s="15"/>
      <c r="V16" s="12"/>
      <c r="W16" s="12"/>
      <c r="X16" s="12"/>
      <c r="Y16" s="12"/>
      <c r="Z16" s="122"/>
    </row>
    <row r="17" spans="1:26" x14ac:dyDescent="0.2">
      <c r="A17" s="3"/>
      <c r="B17" s="294" t="s">
        <v>137</v>
      </c>
      <c r="C17" s="302" t="s">
        <v>446</v>
      </c>
      <c r="D17" s="4"/>
      <c r="E17" s="4"/>
      <c r="F17" s="4"/>
      <c r="G17" s="4"/>
      <c r="H17" s="4"/>
      <c r="I17" s="4"/>
      <c r="J17" s="4"/>
      <c r="K17" s="4"/>
      <c r="L17" s="4"/>
      <c r="M17" s="4"/>
      <c r="N17" s="296"/>
      <c r="P17" s="4"/>
      <c r="Q17" s="12"/>
      <c r="R17" s="12"/>
      <c r="S17" s="12"/>
      <c r="T17" s="216"/>
      <c r="U17" s="15"/>
      <c r="V17" s="12"/>
      <c r="W17" s="12"/>
      <c r="X17" s="12"/>
      <c r="Y17" s="12"/>
      <c r="Z17" s="122"/>
    </row>
    <row r="18" spans="1:26" ht="13.5" thickBot="1" x14ac:dyDescent="0.25">
      <c r="A18" s="3"/>
      <c r="B18" s="291" t="s">
        <v>10</v>
      </c>
      <c r="C18" s="290" t="s">
        <v>445</v>
      </c>
      <c r="D18" s="4"/>
      <c r="E18" s="4"/>
      <c r="F18" s="4"/>
      <c r="G18" s="4"/>
      <c r="H18" s="4"/>
      <c r="I18" s="4"/>
      <c r="J18" s="4"/>
      <c r="K18" s="4"/>
      <c r="L18" s="4"/>
      <c r="M18" s="4"/>
      <c r="N18" s="296"/>
      <c r="P18" s="4"/>
      <c r="Q18" s="12"/>
      <c r="R18" s="12"/>
      <c r="S18" s="12"/>
      <c r="T18" s="216"/>
      <c r="U18" s="15"/>
      <c r="V18" s="12"/>
      <c r="W18" s="12"/>
      <c r="X18" s="12"/>
      <c r="Y18" s="12"/>
      <c r="Z18" s="122"/>
    </row>
    <row r="19" spans="1:26" x14ac:dyDescent="0.2">
      <c r="A19" s="3"/>
      <c r="B19" s="301">
        <v>15</v>
      </c>
      <c r="C19" s="300" t="s">
        <v>425</v>
      </c>
      <c r="D19" s="4"/>
      <c r="E19" s="4"/>
      <c r="F19" s="4"/>
      <c r="G19" s="4"/>
      <c r="H19" s="4"/>
      <c r="I19" s="4"/>
      <c r="J19" s="4"/>
      <c r="K19" s="4"/>
      <c r="L19" s="4"/>
      <c r="M19" s="4"/>
      <c r="N19" s="296"/>
      <c r="P19" s="4"/>
      <c r="Q19" s="12"/>
      <c r="R19" s="12"/>
      <c r="S19" s="12"/>
      <c r="T19" s="216"/>
      <c r="U19" s="15"/>
      <c r="V19" s="12"/>
      <c r="W19" s="12"/>
      <c r="X19" s="12"/>
      <c r="Y19" s="12"/>
      <c r="Z19" s="122"/>
    </row>
    <row r="20" spans="1:26" x14ac:dyDescent="0.2">
      <c r="A20" s="3"/>
      <c r="B20" s="281">
        <v>20</v>
      </c>
      <c r="C20" s="280" t="s">
        <v>425</v>
      </c>
      <c r="D20" s="4"/>
      <c r="E20" s="4"/>
      <c r="F20" s="4"/>
      <c r="G20" s="4"/>
      <c r="H20" s="4"/>
      <c r="I20" s="4"/>
      <c r="J20" s="4"/>
      <c r="K20" s="4"/>
      <c r="L20" s="4"/>
      <c r="M20" s="4"/>
      <c r="N20" s="296"/>
      <c r="P20" s="4"/>
      <c r="Q20" s="12"/>
      <c r="R20" s="12"/>
      <c r="S20" s="12"/>
      <c r="T20" s="216"/>
      <c r="U20" s="15"/>
      <c r="V20" s="12"/>
      <c r="W20" s="12"/>
      <c r="X20" s="12"/>
      <c r="Y20" s="12"/>
      <c r="Z20" s="122"/>
    </row>
    <row r="21" spans="1:26" x14ac:dyDescent="0.2">
      <c r="A21" s="3"/>
      <c r="B21" s="298">
        <v>25</v>
      </c>
      <c r="C21" s="299" t="s">
        <v>425</v>
      </c>
      <c r="D21" s="4"/>
      <c r="E21" s="4"/>
      <c r="F21" s="4"/>
      <c r="G21" s="4"/>
      <c r="H21" s="4"/>
      <c r="I21" s="4"/>
      <c r="J21" s="4"/>
      <c r="K21" s="4"/>
      <c r="L21" s="4"/>
      <c r="M21" s="4"/>
      <c r="N21" s="296"/>
      <c r="P21" s="4"/>
      <c r="Q21" s="12"/>
      <c r="R21" s="12"/>
      <c r="S21" s="12"/>
      <c r="T21" s="216"/>
      <c r="U21" s="15"/>
      <c r="V21" s="12"/>
      <c r="W21" s="12"/>
      <c r="X21" s="12"/>
      <c r="Y21" s="12"/>
      <c r="Z21" s="122"/>
    </row>
    <row r="22" spans="1:26" x14ac:dyDescent="0.2">
      <c r="A22" s="3"/>
      <c r="B22" s="269"/>
      <c r="C22" s="268"/>
      <c r="D22" s="4"/>
      <c r="E22" s="4"/>
      <c r="F22" s="4"/>
      <c r="G22" s="4"/>
      <c r="H22" s="4"/>
      <c r="I22" s="4"/>
      <c r="J22" s="4"/>
      <c r="K22" s="4"/>
      <c r="L22" s="4"/>
      <c r="M22" s="4"/>
      <c r="N22" s="296"/>
      <c r="P22" s="4"/>
      <c r="Q22" s="12"/>
      <c r="R22" s="12"/>
      <c r="S22" s="12"/>
      <c r="T22" s="216"/>
      <c r="U22" s="15"/>
      <c r="V22" s="12"/>
      <c r="W22" s="12"/>
      <c r="X22" s="12"/>
      <c r="Y22" s="12"/>
      <c r="Z22" s="122"/>
    </row>
    <row r="23" spans="1:26" x14ac:dyDescent="0.2">
      <c r="A23" s="3"/>
      <c r="B23" s="298" t="s">
        <v>421</v>
      </c>
      <c r="C23" s="297" t="s">
        <v>411</v>
      </c>
      <c r="D23" s="4"/>
      <c r="E23" s="4"/>
      <c r="F23" s="4"/>
      <c r="G23" s="4"/>
      <c r="H23" s="4"/>
      <c r="I23" s="4"/>
      <c r="J23" s="4"/>
      <c r="K23" s="4"/>
      <c r="L23" s="4"/>
      <c r="M23" s="4"/>
      <c r="N23" s="296"/>
      <c r="P23" s="4"/>
      <c r="Q23" s="12"/>
      <c r="R23" s="12"/>
      <c r="S23" s="12"/>
      <c r="T23" s="216"/>
      <c r="U23" s="15"/>
      <c r="V23" s="12"/>
      <c r="W23" s="12"/>
      <c r="X23" s="12"/>
      <c r="Y23" s="12"/>
      <c r="Z23" s="122"/>
    </row>
    <row r="24" spans="1:26" x14ac:dyDescent="0.2">
      <c r="A24" s="3"/>
      <c r="B24" s="269">
        <v>32</v>
      </c>
      <c r="C24" s="268" t="s">
        <v>411</v>
      </c>
      <c r="D24" s="4"/>
      <c r="E24" s="4"/>
      <c r="F24" s="4"/>
      <c r="G24" s="4"/>
      <c r="H24" s="4"/>
      <c r="I24" s="4"/>
      <c r="J24" s="4"/>
      <c r="K24" s="4"/>
      <c r="L24" s="4"/>
      <c r="M24" s="4"/>
      <c r="N24" s="296"/>
      <c r="P24" s="4"/>
      <c r="Q24" s="12"/>
      <c r="R24" s="12"/>
      <c r="S24" s="12"/>
      <c r="T24" s="216"/>
      <c r="U24" s="15"/>
      <c r="V24" s="12"/>
      <c r="W24" s="12"/>
      <c r="X24" s="12"/>
      <c r="Y24" s="12"/>
      <c r="Z24" s="122"/>
    </row>
    <row r="25" spans="1:26" x14ac:dyDescent="0.2">
      <c r="A25" s="3"/>
      <c r="B25" s="298">
        <v>40</v>
      </c>
      <c r="C25" s="297" t="s">
        <v>411</v>
      </c>
      <c r="D25" s="4"/>
      <c r="E25" s="4"/>
      <c r="F25" s="4"/>
      <c r="G25" s="4"/>
      <c r="H25" s="4"/>
      <c r="I25" s="4"/>
      <c r="J25" s="4"/>
      <c r="K25" s="4"/>
      <c r="L25" s="4"/>
      <c r="M25" s="4"/>
      <c r="N25" s="296"/>
      <c r="P25" s="4"/>
      <c r="Q25" s="12"/>
      <c r="R25" s="12"/>
      <c r="S25" s="12"/>
      <c r="T25" s="216"/>
      <c r="U25" s="15"/>
      <c r="V25" s="12"/>
      <c r="W25" s="12"/>
      <c r="X25" s="12"/>
      <c r="Y25" s="12"/>
      <c r="Z25" s="122"/>
    </row>
    <row r="26" spans="1:26" ht="13.5" thickBot="1" x14ac:dyDescent="0.25">
      <c r="A26" s="3"/>
      <c r="B26" s="258">
        <v>50</v>
      </c>
      <c r="C26" s="257" t="s">
        <v>411</v>
      </c>
      <c r="D26" s="4"/>
      <c r="E26" s="4"/>
      <c r="F26" s="4"/>
      <c r="G26" s="4"/>
      <c r="H26" s="4"/>
      <c r="I26" s="4"/>
      <c r="J26" s="4"/>
      <c r="K26" s="4"/>
      <c r="L26" s="4"/>
      <c r="M26" s="4"/>
      <c r="N26" s="296"/>
      <c r="P26" s="4"/>
      <c r="Q26" s="12"/>
      <c r="R26" s="12"/>
      <c r="S26" s="12"/>
      <c r="T26" s="216"/>
      <c r="U26" s="15"/>
      <c r="V26" s="12"/>
      <c r="W26" s="12"/>
      <c r="X26" s="12"/>
      <c r="Y26" s="12"/>
      <c r="Z26" s="122"/>
    </row>
    <row r="27" spans="1:26" x14ac:dyDescent="0.2">
      <c r="A27" s="3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296"/>
      <c r="P27" s="4"/>
      <c r="Q27" s="12"/>
      <c r="R27" s="12"/>
      <c r="S27" s="12"/>
      <c r="T27" s="216"/>
      <c r="U27" s="15"/>
      <c r="V27" s="12"/>
      <c r="W27" s="12"/>
      <c r="X27" s="12"/>
      <c r="Y27" s="12"/>
      <c r="Z27" s="122"/>
    </row>
    <row r="28" spans="1:26" ht="13.5" thickBot="1" x14ac:dyDescent="0.25">
      <c r="A28" s="173"/>
      <c r="B28" s="295"/>
      <c r="C28" s="295"/>
      <c r="D28" s="295"/>
      <c r="E28" s="295"/>
      <c r="F28" s="295"/>
      <c r="G28" s="295"/>
      <c r="H28" s="295"/>
      <c r="I28" s="295"/>
      <c r="J28" s="295"/>
      <c r="K28" s="295"/>
      <c r="L28" s="295"/>
      <c r="M28" s="295"/>
      <c r="N28" s="6"/>
      <c r="P28" s="4"/>
      <c r="Q28" s="16"/>
      <c r="R28" s="12"/>
      <c r="S28" s="12"/>
      <c r="T28" s="216"/>
      <c r="U28" s="15"/>
      <c r="V28" s="12"/>
      <c r="W28" s="12"/>
      <c r="X28" s="12"/>
      <c r="Y28" s="12"/>
      <c r="Z28" s="122"/>
    </row>
    <row r="29" spans="1:26" ht="14.25" hidden="1" thickTop="1" thickBot="1" x14ac:dyDescent="0.25">
      <c r="A29" s="229"/>
      <c r="B29" s="532" t="s">
        <v>444</v>
      </c>
      <c r="C29" s="533"/>
      <c r="D29" s="534" t="s">
        <v>443</v>
      </c>
      <c r="E29" s="535"/>
      <c r="F29" s="535"/>
      <c r="G29" s="536"/>
      <c r="H29" s="534" t="s">
        <v>442</v>
      </c>
      <c r="I29" s="535"/>
      <c r="J29" s="535"/>
      <c r="K29" s="536"/>
      <c r="L29" s="537" t="s">
        <v>441</v>
      </c>
      <c r="M29" s="538"/>
      <c r="N29" s="539"/>
      <c r="P29" s="4"/>
      <c r="Q29" s="12"/>
      <c r="R29" s="12"/>
      <c r="S29" s="12"/>
      <c r="T29" s="216"/>
      <c r="U29" s="15"/>
      <c r="V29" s="12"/>
      <c r="Z29" s="122"/>
    </row>
    <row r="30" spans="1:26" ht="13.5" hidden="1" thickTop="1" x14ac:dyDescent="0.2">
      <c r="A30" s="229"/>
      <c r="B30" s="294" t="s">
        <v>15</v>
      </c>
      <c r="C30" s="293" t="s">
        <v>14</v>
      </c>
      <c r="D30" s="278" t="s">
        <v>14</v>
      </c>
      <c r="E30" s="277" t="s">
        <v>13</v>
      </c>
      <c r="F30" s="276" t="s">
        <v>12</v>
      </c>
      <c r="G30" s="275" t="s">
        <v>12</v>
      </c>
      <c r="H30" s="278" t="s">
        <v>14</v>
      </c>
      <c r="I30" s="277" t="s">
        <v>13</v>
      </c>
      <c r="J30" s="276" t="s">
        <v>12</v>
      </c>
      <c r="K30" s="275" t="s">
        <v>12</v>
      </c>
      <c r="L30" s="285" t="s">
        <v>12</v>
      </c>
      <c r="M30" s="284" t="s">
        <v>12</v>
      </c>
      <c r="N30" s="283" t="s">
        <v>12</v>
      </c>
      <c r="P30" s="4"/>
      <c r="Q30" s="12"/>
      <c r="R30" s="12"/>
      <c r="S30" s="12"/>
      <c r="T30" s="216"/>
      <c r="U30" s="15"/>
      <c r="V30" s="12"/>
      <c r="Z30" s="122"/>
    </row>
    <row r="31" spans="1:26" ht="13.5" hidden="1" thickTop="1" x14ac:dyDescent="0.2">
      <c r="A31" s="241"/>
      <c r="B31" s="281" t="s">
        <v>137</v>
      </c>
      <c r="C31" s="268" t="s">
        <v>440</v>
      </c>
      <c r="D31" s="265" t="s">
        <v>11</v>
      </c>
      <c r="E31" s="264"/>
      <c r="F31" s="263" t="s">
        <v>439</v>
      </c>
      <c r="G31" s="262" t="s">
        <v>438</v>
      </c>
      <c r="H31" s="265" t="s">
        <v>11</v>
      </c>
      <c r="I31" s="264"/>
      <c r="J31" s="263" t="s">
        <v>439</v>
      </c>
      <c r="K31" s="262" t="s">
        <v>438</v>
      </c>
      <c r="L31" s="228" t="s">
        <v>437</v>
      </c>
      <c r="M31" s="292" t="s">
        <v>436</v>
      </c>
      <c r="N31" s="260" t="s">
        <v>435</v>
      </c>
      <c r="Q31" s="122"/>
      <c r="R31" s="122"/>
      <c r="S31" s="122"/>
      <c r="T31" s="214"/>
      <c r="V31" s="122"/>
      <c r="W31" s="122"/>
      <c r="X31" s="122"/>
    </row>
    <row r="32" spans="1:26" ht="14.25" hidden="1" thickTop="1" thickBot="1" x14ac:dyDescent="0.25">
      <c r="A32" s="241"/>
      <c r="B32" s="291" t="s">
        <v>10</v>
      </c>
      <c r="C32" s="290" t="s">
        <v>6</v>
      </c>
      <c r="D32" s="256" t="s">
        <v>6</v>
      </c>
      <c r="E32" s="255" t="s">
        <v>9</v>
      </c>
      <c r="F32" s="254" t="s">
        <v>434</v>
      </c>
      <c r="G32" s="253" t="s">
        <v>433</v>
      </c>
      <c r="H32" s="256" t="s">
        <v>6</v>
      </c>
      <c r="I32" s="255" t="s">
        <v>9</v>
      </c>
      <c r="J32" s="254" t="s">
        <v>434</v>
      </c>
      <c r="K32" s="253" t="s">
        <v>433</v>
      </c>
      <c r="L32" s="289" t="s">
        <v>432</v>
      </c>
      <c r="M32" s="251" t="s">
        <v>432</v>
      </c>
      <c r="N32" s="288" t="s">
        <v>432</v>
      </c>
      <c r="Q32" s="122"/>
      <c r="R32" s="122"/>
      <c r="S32" s="122"/>
      <c r="T32" s="282"/>
      <c r="U32" s="122"/>
      <c r="V32" s="122"/>
      <c r="W32" s="122"/>
      <c r="X32" s="122"/>
      <c r="Y32" s="122"/>
      <c r="Z32" s="122"/>
    </row>
    <row r="33" spans="1:26" ht="13.5" hidden="1" thickTop="1" x14ac:dyDescent="0.2">
      <c r="A33" s="229"/>
      <c r="B33" s="287">
        <v>15</v>
      </c>
      <c r="C33" s="286" t="s">
        <v>425</v>
      </c>
      <c r="D33" s="278">
        <f>VLOOKUP($D$5,$B$47:$I$90,1)</f>
        <v>936</v>
      </c>
      <c r="E33" s="264">
        <f>VLOOKUP($D$5,$B$47:$I$90,2)</f>
        <v>21</v>
      </c>
      <c r="F33" s="276" t="str">
        <f>VLOOKUP($D$5,$B$47:$I$90,3)</f>
        <v>50-11750</v>
      </c>
      <c r="G33" s="275" t="str">
        <f>VLOOKUP($D$5,$B$47:$I$90,4)</f>
        <v>49-11750</v>
      </c>
      <c r="H33" s="278">
        <f>VLOOKUP($D$5,$B$47:$I$90,5)</f>
        <v>1020</v>
      </c>
      <c r="I33" s="277">
        <f>VLOOKUP($D$5,$B$47:$I$90,6)</f>
        <v>22</v>
      </c>
      <c r="J33" s="276" t="str">
        <f>VLOOKUP($D$5,$B$47:$I$90,7)</f>
        <v>50-20700</v>
      </c>
      <c r="K33" s="275" t="str">
        <f>VLOOKUP($D$5,$B$47:$I$90,8)</f>
        <v>49-20700</v>
      </c>
      <c r="L33" s="285" t="s">
        <v>431</v>
      </c>
      <c r="M33" s="284" t="s">
        <v>430</v>
      </c>
      <c r="N33" s="283" t="s">
        <v>429</v>
      </c>
      <c r="Q33" s="122"/>
      <c r="R33" s="122"/>
      <c r="S33" s="122"/>
      <c r="T33" s="282"/>
      <c r="U33" s="122"/>
      <c r="V33" s="122"/>
      <c r="W33" s="122"/>
      <c r="X33" s="122"/>
      <c r="Y33" s="122"/>
      <c r="Z33" s="122"/>
    </row>
    <row r="34" spans="1:26" ht="13.5" hidden="1" thickTop="1" x14ac:dyDescent="0.2">
      <c r="A34" s="229"/>
      <c r="B34" s="281">
        <v>20</v>
      </c>
      <c r="C34" s="280" t="s">
        <v>425</v>
      </c>
      <c r="D34" s="278">
        <f>VLOOKUP($D$5,$B$47:$I$90,1)</f>
        <v>936</v>
      </c>
      <c r="E34" s="264">
        <f>VLOOKUP($D$5,$B$47:$I$90,2)</f>
        <v>21</v>
      </c>
      <c r="F34" s="276" t="str">
        <f>VLOOKUP($D$5,$B$47:$I$90,3)</f>
        <v>50-11750</v>
      </c>
      <c r="G34" s="275" t="str">
        <f>VLOOKUP($D$5,$B$47:$I$90,4)</f>
        <v>49-11750</v>
      </c>
      <c r="H34" s="278">
        <f>VLOOKUP($D$5,$B$47:$I$90,5)</f>
        <v>1020</v>
      </c>
      <c r="I34" s="277">
        <f>VLOOKUP($D$5,$B$47:$I$90,6)</f>
        <v>22</v>
      </c>
      <c r="J34" s="276" t="str">
        <f>VLOOKUP($D$5,$B$47:$I$90,7)</f>
        <v>50-20700</v>
      </c>
      <c r="K34" s="275" t="str">
        <f>VLOOKUP($D$5,$B$47:$I$90,8)</f>
        <v>49-20700</v>
      </c>
      <c r="L34" s="228" t="s">
        <v>428</v>
      </c>
      <c r="M34" s="261" t="s">
        <v>427</v>
      </c>
      <c r="N34" s="260" t="s">
        <v>426</v>
      </c>
      <c r="T34" s="214"/>
      <c r="V34" s="122"/>
      <c r="W34" s="122"/>
      <c r="X34" s="122"/>
      <c r="Y34" s="122"/>
      <c r="Z34" s="122"/>
    </row>
    <row r="35" spans="1:26" ht="13.5" hidden="1" thickTop="1" x14ac:dyDescent="0.2">
      <c r="A35" s="241"/>
      <c r="B35" s="267">
        <v>25</v>
      </c>
      <c r="C35" s="279" t="s">
        <v>425</v>
      </c>
      <c r="D35" s="278">
        <f>VLOOKUP($D$5,$B$47:$I$90,1)</f>
        <v>936</v>
      </c>
      <c r="E35" s="264">
        <f>VLOOKUP($D$5,$B$47:$I$90,2)</f>
        <v>21</v>
      </c>
      <c r="F35" s="276" t="str">
        <f>VLOOKUP($D$5,$B$47:$I$90,3)</f>
        <v>50-11750</v>
      </c>
      <c r="G35" s="275" t="str">
        <f>VLOOKUP($D$5,$B$47:$I$90,4)</f>
        <v>49-11750</v>
      </c>
      <c r="H35" s="278">
        <f>VLOOKUP($D$5,$B$47:$I$90,5)</f>
        <v>1020</v>
      </c>
      <c r="I35" s="277">
        <f>VLOOKUP($D$5,$B$47:$I$90,6)</f>
        <v>22</v>
      </c>
      <c r="J35" s="276" t="str">
        <f>VLOOKUP($D$5,$B$47:$I$90,7)</f>
        <v>50-20700</v>
      </c>
      <c r="K35" s="275" t="str">
        <f>VLOOKUP($D$5,$B$47:$I$90,8)</f>
        <v>49-20700</v>
      </c>
      <c r="L35" s="228" t="s">
        <v>424</v>
      </c>
      <c r="M35" s="261" t="s">
        <v>423</v>
      </c>
      <c r="N35" s="260" t="s">
        <v>422</v>
      </c>
      <c r="T35" s="214"/>
    </row>
    <row r="36" spans="1:26" ht="13.9" hidden="1" customHeight="1" x14ac:dyDescent="0.2">
      <c r="A36" s="241"/>
      <c r="B36" s="269"/>
      <c r="C36" s="268"/>
      <c r="D36" s="273"/>
      <c r="E36" s="272"/>
      <c r="F36" s="274"/>
      <c r="G36" s="270"/>
      <c r="H36" s="273"/>
      <c r="I36" s="272"/>
      <c r="J36" s="271"/>
      <c r="K36" s="270"/>
      <c r="L36" s="228"/>
      <c r="M36" s="261"/>
      <c r="N36" s="260"/>
      <c r="R36" s="11"/>
      <c r="T36" s="214"/>
      <c r="Z36" s="10"/>
    </row>
    <row r="37" spans="1:26" ht="13.9" hidden="1" customHeight="1" x14ac:dyDescent="0.2">
      <c r="A37" s="241"/>
      <c r="B37" s="267" t="s">
        <v>421</v>
      </c>
      <c r="C37" s="266" t="s">
        <v>411</v>
      </c>
      <c r="D37" s="265">
        <f>VLOOKUP($D$5,$J$47:$Q$90,1)</f>
        <v>861</v>
      </c>
      <c r="E37" s="264">
        <f>VLOOKUP($D$5,$J$47:$Q$90,2)</f>
        <v>12</v>
      </c>
      <c r="F37" s="263" t="str">
        <f>VLOOKUP($D$5,$J$47:$Q$90,3)</f>
        <v>50-33082</v>
      </c>
      <c r="G37" s="262" t="str">
        <f>VLOOKUP($D$5,$J$47:$Q$90,4)</f>
        <v>49-33082</v>
      </c>
      <c r="H37" s="265">
        <f>VLOOKUP($D$5,$J$47:$Q$90,5)</f>
        <v>1020</v>
      </c>
      <c r="I37" s="264">
        <f>VLOOKUP($D$5,$J$47:$Q$90,6)</f>
        <v>12</v>
      </c>
      <c r="J37" s="263" t="str">
        <f>VLOOKUP($D$5,$J$47:$Q$90,7)</f>
        <v>50-33089</v>
      </c>
      <c r="K37" s="262" t="str">
        <f>VLOOKUP($D$5,$J$47:$Q$90,8)</f>
        <v>49-33089</v>
      </c>
      <c r="L37" s="228" t="s">
        <v>420</v>
      </c>
      <c r="M37" s="261" t="s">
        <v>419</v>
      </c>
      <c r="N37" s="260" t="s">
        <v>418</v>
      </c>
      <c r="T37" s="214"/>
    </row>
    <row r="38" spans="1:26" ht="13.9" hidden="1" customHeight="1" x14ac:dyDescent="0.2">
      <c r="A38" s="241"/>
      <c r="B38" s="269">
        <v>32</v>
      </c>
      <c r="C38" s="268" t="s">
        <v>411</v>
      </c>
      <c r="D38" s="265">
        <f>VLOOKUP($D$5,$J$47:$Q$90,1)</f>
        <v>861</v>
      </c>
      <c r="E38" s="264">
        <f>VLOOKUP($D$5,$J$47:$Q$90,2)</f>
        <v>12</v>
      </c>
      <c r="F38" s="263" t="str">
        <f>VLOOKUP($D$5,$J$47:$Q$90,3)</f>
        <v>50-33082</v>
      </c>
      <c r="G38" s="262" t="str">
        <f>VLOOKUP($D$5,$J$47:$Q$90,4)</f>
        <v>49-33082</v>
      </c>
      <c r="H38" s="265">
        <f>VLOOKUP($D$5,$J$47:$Q$90,5)</f>
        <v>1020</v>
      </c>
      <c r="I38" s="264">
        <f>VLOOKUP($D$5,$J$47:$Q$90,6)</f>
        <v>12</v>
      </c>
      <c r="J38" s="263" t="str">
        <f>VLOOKUP($D$5,$J$47:$Q$90,7)</f>
        <v>50-33089</v>
      </c>
      <c r="K38" s="262" t="str">
        <f>VLOOKUP($D$5,$J$47:$Q$90,8)</f>
        <v>49-33089</v>
      </c>
      <c r="L38" s="228" t="s">
        <v>417</v>
      </c>
      <c r="M38" s="261" t="s">
        <v>416</v>
      </c>
      <c r="N38" s="260" t="s">
        <v>415</v>
      </c>
      <c r="R38" s="11"/>
      <c r="T38" s="214"/>
    </row>
    <row r="39" spans="1:26" ht="13.9" hidden="1" customHeight="1" x14ac:dyDescent="0.2">
      <c r="A39" s="241"/>
      <c r="B39" s="267">
        <v>40</v>
      </c>
      <c r="C39" s="266" t="s">
        <v>411</v>
      </c>
      <c r="D39" s="265">
        <f>VLOOKUP($D$5,$J$47:$Q$90,1)</f>
        <v>861</v>
      </c>
      <c r="E39" s="264">
        <f>VLOOKUP($D$5,$J$47:$Q$90,2)</f>
        <v>12</v>
      </c>
      <c r="F39" s="263" t="str">
        <f>VLOOKUP($D$5,$J$47:$Q$90,3)</f>
        <v>50-33082</v>
      </c>
      <c r="G39" s="262" t="str">
        <f>VLOOKUP($D$5,$J$47:$Q$90,4)</f>
        <v>49-33082</v>
      </c>
      <c r="H39" s="265">
        <f>VLOOKUP($D$5,$J$47:$Q$90,5)</f>
        <v>1020</v>
      </c>
      <c r="I39" s="264">
        <f>VLOOKUP($D$5,$J$47:$Q$90,6)</f>
        <v>12</v>
      </c>
      <c r="J39" s="263" t="str">
        <f>VLOOKUP($D$5,$J$47:$Q$90,7)</f>
        <v>50-33089</v>
      </c>
      <c r="K39" s="262" t="str">
        <f>VLOOKUP($D$5,$J$47:$Q$90,8)</f>
        <v>49-33089</v>
      </c>
      <c r="L39" s="228" t="s">
        <v>414</v>
      </c>
      <c r="M39" s="261" t="s">
        <v>413</v>
      </c>
      <c r="N39" s="260" t="s">
        <v>412</v>
      </c>
      <c r="T39" s="214"/>
    </row>
    <row r="40" spans="1:26" ht="13.9" hidden="1" customHeight="1" thickBot="1" x14ac:dyDescent="0.25">
      <c r="A40" s="259"/>
      <c r="B40" s="258">
        <v>50</v>
      </c>
      <c r="C40" s="257" t="s">
        <v>411</v>
      </c>
      <c r="D40" s="256">
        <f>VLOOKUP($D$5,$J$47:$Q$90,1)</f>
        <v>861</v>
      </c>
      <c r="E40" s="255">
        <f>VLOOKUP($D$5,$J$47:$Q$90,2)</f>
        <v>12</v>
      </c>
      <c r="F40" s="254" t="str">
        <f>VLOOKUP($D$5,$J$47:$Q$90,3)</f>
        <v>50-33082</v>
      </c>
      <c r="G40" s="253" t="str">
        <f>VLOOKUP($D$5,$J$47:$Q$90,4)</f>
        <v>49-33082</v>
      </c>
      <c r="H40" s="256">
        <f>VLOOKUP($D$5,$J$47:$Q$90,5)</f>
        <v>1020</v>
      </c>
      <c r="I40" s="255">
        <f>VLOOKUP($D$5,$J$47:$Q$90,6)</f>
        <v>12</v>
      </c>
      <c r="J40" s="254" t="str">
        <f>VLOOKUP($D$5,$J$47:$Q$90,7)</f>
        <v>50-33089</v>
      </c>
      <c r="K40" s="253" t="str">
        <f>VLOOKUP($D$5,$J$47:$Q$90,8)</f>
        <v>49-33089</v>
      </c>
      <c r="L40" s="252" t="s">
        <v>410</v>
      </c>
      <c r="M40" s="251" t="s">
        <v>409</v>
      </c>
      <c r="N40" s="250" t="s">
        <v>408</v>
      </c>
      <c r="O40" s="213"/>
      <c r="P40" s="213"/>
      <c r="Q40" s="213"/>
      <c r="R40" s="213"/>
      <c r="S40" s="213"/>
      <c r="T40" s="212"/>
    </row>
    <row r="41" spans="1:26" ht="28.15" hidden="1" customHeight="1" x14ac:dyDescent="0.2">
      <c r="A41" s="241"/>
      <c r="B41" s="249"/>
      <c r="C41" s="249"/>
      <c r="D41" s="249"/>
      <c r="E41" s="249"/>
      <c r="F41" s="249"/>
      <c r="G41" s="249"/>
      <c r="H41" s="249"/>
      <c r="I41" s="249"/>
      <c r="J41" s="249"/>
      <c r="K41" s="249"/>
      <c r="L41" s="249"/>
      <c r="M41" s="249"/>
      <c r="N41" s="249"/>
      <c r="R41" s="10"/>
      <c r="T41" s="214"/>
    </row>
    <row r="42" spans="1:26" ht="28.15" hidden="1" customHeight="1" thickBot="1" x14ac:dyDescent="0.25">
      <c r="A42" s="241"/>
      <c r="B42" s="12"/>
      <c r="C42" s="120"/>
      <c r="D42" s="12"/>
      <c r="E42" s="4"/>
      <c r="F42" s="4"/>
      <c r="G42" s="4"/>
      <c r="H42" s="4"/>
      <c r="I42" s="12"/>
      <c r="J42" s="4"/>
      <c r="K42" s="4"/>
      <c r="R42" s="10"/>
      <c r="T42" s="214"/>
    </row>
    <row r="43" spans="1:26" ht="28.15" hidden="1" customHeight="1" thickBot="1" x14ac:dyDescent="0.25">
      <c r="A43" s="229"/>
      <c r="B43" s="517" t="s">
        <v>407</v>
      </c>
      <c r="C43" s="517"/>
      <c r="D43" s="517"/>
      <c r="E43" s="517"/>
      <c r="F43" s="517"/>
      <c r="G43" s="517"/>
      <c r="H43" s="517"/>
      <c r="I43" s="518"/>
      <c r="J43" s="518" t="s">
        <v>406</v>
      </c>
      <c r="K43" s="519"/>
      <c r="L43" s="519"/>
      <c r="M43" s="519"/>
      <c r="N43" s="519"/>
      <c r="O43" s="519"/>
      <c r="P43" s="519"/>
      <c r="Q43" s="520"/>
      <c r="R43" s="10" t="s">
        <v>405</v>
      </c>
      <c r="T43" s="214"/>
    </row>
    <row r="44" spans="1:26" ht="28.15" hidden="1" customHeight="1" x14ac:dyDescent="0.2">
      <c r="A44" s="229"/>
      <c r="B44" s="514" t="s">
        <v>8</v>
      </c>
      <c r="C44" s="515"/>
      <c r="D44" s="515"/>
      <c r="E44" s="515"/>
      <c r="F44" s="515" t="s">
        <v>7</v>
      </c>
      <c r="G44" s="515"/>
      <c r="H44" s="515"/>
      <c r="I44" s="521"/>
      <c r="J44" s="522" t="s">
        <v>8</v>
      </c>
      <c r="K44" s="523"/>
      <c r="L44" s="523"/>
      <c r="M44" s="523"/>
      <c r="N44" s="524" t="s">
        <v>7</v>
      </c>
      <c r="O44" s="525"/>
      <c r="P44" s="525"/>
      <c r="Q44" s="526"/>
      <c r="T44" s="214"/>
    </row>
    <row r="45" spans="1:26" ht="28.15" hidden="1" customHeight="1" x14ac:dyDescent="0.2">
      <c r="A45" s="229"/>
      <c r="B45" s="245" t="s">
        <v>6</v>
      </c>
      <c r="C45" s="121" t="s">
        <v>0</v>
      </c>
      <c r="D45" s="511" t="s">
        <v>5</v>
      </c>
      <c r="E45" s="511"/>
      <c r="F45" s="121" t="s">
        <v>6</v>
      </c>
      <c r="G45" s="121" t="s">
        <v>0</v>
      </c>
      <c r="H45" s="511" t="s">
        <v>5</v>
      </c>
      <c r="I45" s="512"/>
      <c r="J45" s="245" t="s">
        <v>6</v>
      </c>
      <c r="K45" s="121" t="s">
        <v>0</v>
      </c>
      <c r="L45" s="511" t="s">
        <v>5</v>
      </c>
      <c r="M45" s="511"/>
      <c r="N45" s="248" t="s">
        <v>6</v>
      </c>
      <c r="O45" s="248" t="s">
        <v>0</v>
      </c>
      <c r="P45" s="513" t="s">
        <v>5</v>
      </c>
      <c r="Q45" s="513"/>
      <c r="R45" s="10" t="s">
        <v>404</v>
      </c>
      <c r="T45" s="214"/>
    </row>
    <row r="46" spans="1:26" ht="28.15" hidden="1" customHeight="1" x14ac:dyDescent="0.2">
      <c r="A46" s="229"/>
      <c r="B46" s="245"/>
      <c r="C46" s="121" t="s">
        <v>4</v>
      </c>
      <c r="D46" s="121" t="s">
        <v>403</v>
      </c>
      <c r="E46" s="121" t="s">
        <v>402</v>
      </c>
      <c r="F46" s="121"/>
      <c r="G46" s="121" t="s">
        <v>4</v>
      </c>
      <c r="H46" s="121" t="s">
        <v>403</v>
      </c>
      <c r="I46" s="247" t="s">
        <v>402</v>
      </c>
      <c r="J46" s="245"/>
      <c r="K46" s="121" t="s">
        <v>4</v>
      </c>
      <c r="L46" s="121" t="s">
        <v>403</v>
      </c>
      <c r="M46" s="121" t="s">
        <v>402</v>
      </c>
      <c r="N46" s="121"/>
      <c r="O46" s="121" t="s">
        <v>4</v>
      </c>
      <c r="P46" s="121" t="s">
        <v>403</v>
      </c>
      <c r="Q46" s="121" t="s">
        <v>402</v>
      </c>
      <c r="T46" s="214"/>
    </row>
    <row r="47" spans="1:26" ht="28.15" hidden="1" customHeight="1" x14ac:dyDescent="0.2">
      <c r="A47" s="229"/>
      <c r="B47" s="245">
        <v>0</v>
      </c>
      <c r="C47" s="13"/>
      <c r="D47" s="13"/>
      <c r="E47" s="13"/>
      <c r="F47" s="121">
        <v>25</v>
      </c>
      <c r="G47" s="121">
        <v>7</v>
      </c>
      <c r="H47" s="1" t="s">
        <v>401</v>
      </c>
      <c r="I47" s="246" t="s">
        <v>394</v>
      </c>
      <c r="J47" s="235">
        <v>0</v>
      </c>
      <c r="K47" s="1"/>
      <c r="L47" s="1"/>
      <c r="M47" s="1"/>
      <c r="N47" s="1">
        <v>674</v>
      </c>
      <c r="O47" s="1">
        <v>12</v>
      </c>
      <c r="P47" s="1" t="s">
        <v>400</v>
      </c>
      <c r="Q47" s="1" t="s">
        <v>399</v>
      </c>
      <c r="T47" s="214"/>
    </row>
    <row r="48" spans="1:26" ht="28.15" hidden="1" customHeight="1" x14ac:dyDescent="0.2">
      <c r="A48" s="229"/>
      <c r="B48" s="245">
        <v>25</v>
      </c>
      <c r="C48" s="121">
        <v>7</v>
      </c>
      <c r="D48" s="1" t="s">
        <v>401</v>
      </c>
      <c r="E48" s="237" t="s">
        <v>394</v>
      </c>
      <c r="F48" s="121">
        <v>36</v>
      </c>
      <c r="G48" s="121">
        <v>7</v>
      </c>
      <c r="H48" s="1" t="s">
        <v>398</v>
      </c>
      <c r="I48" s="246" t="s">
        <v>394</v>
      </c>
      <c r="J48" s="235">
        <v>674</v>
      </c>
      <c r="K48" s="1">
        <v>12</v>
      </c>
      <c r="L48" s="1" t="s">
        <v>400</v>
      </c>
      <c r="M48" s="1" t="s">
        <v>399</v>
      </c>
      <c r="N48" s="1">
        <v>861</v>
      </c>
      <c r="O48" s="1">
        <v>12</v>
      </c>
      <c r="P48" s="1" t="s">
        <v>397</v>
      </c>
      <c r="Q48" s="1" t="s">
        <v>396</v>
      </c>
      <c r="T48" s="214"/>
    </row>
    <row r="49" spans="1:20" ht="28.15" hidden="1" customHeight="1" x14ac:dyDescent="0.2">
      <c r="A49" s="229"/>
      <c r="B49" s="245">
        <v>36</v>
      </c>
      <c r="C49" s="121">
        <v>7</v>
      </c>
      <c r="D49" s="1" t="s">
        <v>398</v>
      </c>
      <c r="E49" s="237" t="s">
        <v>394</v>
      </c>
      <c r="F49" s="121">
        <v>43</v>
      </c>
      <c r="G49" s="121">
        <v>7</v>
      </c>
      <c r="H49" s="1" t="s">
        <v>395</v>
      </c>
      <c r="I49" s="246" t="s">
        <v>394</v>
      </c>
      <c r="J49" s="235">
        <v>861</v>
      </c>
      <c r="K49" s="1">
        <v>12</v>
      </c>
      <c r="L49" s="1" t="s">
        <v>397</v>
      </c>
      <c r="M49" s="1" t="s">
        <v>396</v>
      </c>
      <c r="N49" s="1">
        <v>1020</v>
      </c>
      <c r="O49" s="1">
        <v>12</v>
      </c>
      <c r="P49" s="1" t="s">
        <v>393</v>
      </c>
      <c r="Q49" s="1" t="s">
        <v>392</v>
      </c>
      <c r="T49" s="214"/>
    </row>
    <row r="50" spans="1:20" ht="28.15" hidden="1" customHeight="1" x14ac:dyDescent="0.2">
      <c r="A50" s="229"/>
      <c r="B50" s="245">
        <v>43</v>
      </c>
      <c r="C50" s="121">
        <v>7</v>
      </c>
      <c r="D50" s="1" t="s">
        <v>395</v>
      </c>
      <c r="E50" s="237" t="s">
        <v>394</v>
      </c>
      <c r="F50" s="121">
        <v>55</v>
      </c>
      <c r="G50" s="121">
        <v>7</v>
      </c>
      <c r="H50" s="1" t="s">
        <v>391</v>
      </c>
      <c r="I50" s="236" t="s">
        <v>390</v>
      </c>
      <c r="J50" s="235">
        <v>1020</v>
      </c>
      <c r="K50" s="1">
        <v>12</v>
      </c>
      <c r="L50" s="1" t="s">
        <v>393</v>
      </c>
      <c r="M50" s="1" t="s">
        <v>392</v>
      </c>
      <c r="N50" s="1">
        <v>1136</v>
      </c>
      <c r="O50" s="1">
        <v>12</v>
      </c>
      <c r="P50" s="1" t="s">
        <v>389</v>
      </c>
      <c r="Q50" s="1" t="s">
        <v>388</v>
      </c>
      <c r="T50" s="214"/>
    </row>
    <row r="51" spans="1:20" ht="28.15" hidden="1" customHeight="1" x14ac:dyDescent="0.2">
      <c r="A51" s="229"/>
      <c r="B51" s="245">
        <v>55</v>
      </c>
      <c r="C51" s="121">
        <v>7</v>
      </c>
      <c r="D51" s="1" t="s">
        <v>391</v>
      </c>
      <c r="E51" s="1" t="s">
        <v>390</v>
      </c>
      <c r="F51" s="121">
        <v>75</v>
      </c>
      <c r="G51" s="121">
        <v>8</v>
      </c>
      <c r="H51" s="1" t="s">
        <v>387</v>
      </c>
      <c r="I51" s="236" t="s">
        <v>386</v>
      </c>
      <c r="J51" s="235">
        <v>1136</v>
      </c>
      <c r="K51" s="1">
        <v>12</v>
      </c>
      <c r="L51" s="1" t="s">
        <v>389</v>
      </c>
      <c r="M51" s="1" t="s">
        <v>388</v>
      </c>
      <c r="N51" s="1">
        <v>1190</v>
      </c>
      <c r="O51" s="1">
        <v>12</v>
      </c>
      <c r="P51" s="1" t="s">
        <v>385</v>
      </c>
      <c r="Q51" s="1" t="s">
        <v>384</v>
      </c>
      <c r="T51" s="214"/>
    </row>
    <row r="52" spans="1:20" ht="28.15" hidden="1" customHeight="1" x14ac:dyDescent="0.2">
      <c r="A52" s="229"/>
      <c r="B52" s="245">
        <v>75</v>
      </c>
      <c r="C52" s="121">
        <v>8</v>
      </c>
      <c r="D52" s="1" t="s">
        <v>387</v>
      </c>
      <c r="E52" s="1" t="s">
        <v>386</v>
      </c>
      <c r="F52" s="121">
        <v>84</v>
      </c>
      <c r="G52" s="121">
        <v>9</v>
      </c>
      <c r="H52" s="1" t="s">
        <v>383</v>
      </c>
      <c r="I52" s="236" t="s">
        <v>382</v>
      </c>
      <c r="J52" s="235">
        <v>1190</v>
      </c>
      <c r="K52" s="1">
        <v>12</v>
      </c>
      <c r="L52" s="1" t="s">
        <v>385</v>
      </c>
      <c r="M52" s="1" t="s">
        <v>384</v>
      </c>
      <c r="N52" s="1">
        <v>1272</v>
      </c>
      <c r="O52" s="1">
        <v>13</v>
      </c>
      <c r="P52" s="1" t="s">
        <v>381</v>
      </c>
      <c r="Q52" s="1" t="s">
        <v>380</v>
      </c>
      <c r="T52" s="214"/>
    </row>
    <row r="53" spans="1:20" ht="28.15" hidden="1" customHeight="1" x14ac:dyDescent="0.2">
      <c r="A53" s="229"/>
      <c r="B53" s="245">
        <v>84</v>
      </c>
      <c r="C53" s="121">
        <v>9</v>
      </c>
      <c r="D53" s="1" t="s">
        <v>383</v>
      </c>
      <c r="E53" s="1" t="s">
        <v>382</v>
      </c>
      <c r="F53" s="121">
        <v>104</v>
      </c>
      <c r="G53" s="121">
        <v>10</v>
      </c>
      <c r="H53" s="1" t="s">
        <v>379</v>
      </c>
      <c r="I53" s="236" t="s">
        <v>378</v>
      </c>
      <c r="J53" s="235">
        <v>1272</v>
      </c>
      <c r="K53" s="1">
        <v>13</v>
      </c>
      <c r="L53" s="1" t="s">
        <v>381</v>
      </c>
      <c r="M53" s="1" t="s">
        <v>380</v>
      </c>
      <c r="N53" s="1">
        <v>1349</v>
      </c>
      <c r="O53" s="1">
        <v>13</v>
      </c>
      <c r="P53" s="1" t="s">
        <v>377</v>
      </c>
      <c r="Q53" s="1" t="s">
        <v>376</v>
      </c>
      <c r="T53" s="214"/>
    </row>
    <row r="54" spans="1:20" ht="28.15" hidden="1" customHeight="1" x14ac:dyDescent="0.2">
      <c r="A54" s="229"/>
      <c r="B54" s="245">
        <v>104</v>
      </c>
      <c r="C54" s="121">
        <v>10</v>
      </c>
      <c r="D54" s="1" t="s">
        <v>379</v>
      </c>
      <c r="E54" s="1" t="s">
        <v>378</v>
      </c>
      <c r="F54" s="121">
        <v>114</v>
      </c>
      <c r="G54" s="121">
        <v>10</v>
      </c>
      <c r="H54" s="1" t="s">
        <v>375</v>
      </c>
      <c r="I54" s="236" t="s">
        <v>374</v>
      </c>
      <c r="J54" s="235">
        <v>1349</v>
      </c>
      <c r="K54" s="1">
        <v>13</v>
      </c>
      <c r="L54" s="1" t="s">
        <v>377</v>
      </c>
      <c r="M54" s="1" t="s">
        <v>376</v>
      </c>
      <c r="N54" s="1">
        <v>1485</v>
      </c>
      <c r="O54" s="1">
        <v>13</v>
      </c>
      <c r="P54" s="1" t="s">
        <v>373</v>
      </c>
      <c r="Q54" s="1" t="s">
        <v>372</v>
      </c>
      <c r="T54" s="214"/>
    </row>
    <row r="55" spans="1:20" ht="28.15" hidden="1" customHeight="1" x14ac:dyDescent="0.2">
      <c r="A55" s="229"/>
      <c r="B55" s="245">
        <v>114</v>
      </c>
      <c r="C55" s="121">
        <v>10</v>
      </c>
      <c r="D55" s="1" t="s">
        <v>375</v>
      </c>
      <c r="E55" s="1" t="s">
        <v>374</v>
      </c>
      <c r="F55" s="121">
        <v>129</v>
      </c>
      <c r="G55" s="121">
        <v>11</v>
      </c>
      <c r="H55" s="1" t="s">
        <v>371</v>
      </c>
      <c r="I55" s="236" t="s">
        <v>370</v>
      </c>
      <c r="J55" s="235">
        <v>1485</v>
      </c>
      <c r="K55" s="1">
        <v>13</v>
      </c>
      <c r="L55" s="1" t="s">
        <v>373</v>
      </c>
      <c r="M55" s="1" t="s">
        <v>372</v>
      </c>
      <c r="N55" s="1">
        <v>1567</v>
      </c>
      <c r="O55" s="1">
        <v>14</v>
      </c>
      <c r="P55" s="1" t="s">
        <v>369</v>
      </c>
      <c r="Q55" s="1" t="s">
        <v>368</v>
      </c>
      <c r="T55" s="214"/>
    </row>
    <row r="56" spans="1:20" ht="28.15" hidden="1" customHeight="1" x14ac:dyDescent="0.2">
      <c r="A56" s="229"/>
      <c r="B56" s="245">
        <v>129</v>
      </c>
      <c r="C56" s="121">
        <v>11</v>
      </c>
      <c r="D56" s="1" t="s">
        <v>371</v>
      </c>
      <c r="E56" s="1" t="s">
        <v>370</v>
      </c>
      <c r="F56" s="121">
        <v>154</v>
      </c>
      <c r="G56" s="121">
        <v>11</v>
      </c>
      <c r="H56" s="1" t="s">
        <v>367</v>
      </c>
      <c r="I56" s="236" t="s">
        <v>366</v>
      </c>
      <c r="J56" s="235">
        <v>1567</v>
      </c>
      <c r="K56" s="1">
        <v>14</v>
      </c>
      <c r="L56" s="1" t="s">
        <v>369</v>
      </c>
      <c r="M56" s="1" t="s">
        <v>368</v>
      </c>
      <c r="N56" s="1">
        <v>1631</v>
      </c>
      <c r="O56" s="1">
        <v>14</v>
      </c>
      <c r="P56" s="1" t="s">
        <v>365</v>
      </c>
      <c r="Q56" s="1" t="s">
        <v>364</v>
      </c>
      <c r="T56" s="214"/>
    </row>
    <row r="57" spans="1:20" ht="28.15" hidden="1" customHeight="1" x14ac:dyDescent="0.2">
      <c r="A57" s="229"/>
      <c r="B57" s="245">
        <v>154</v>
      </c>
      <c r="C57" s="121">
        <v>11</v>
      </c>
      <c r="D57" s="1" t="s">
        <v>367</v>
      </c>
      <c r="E57" s="1" t="s">
        <v>366</v>
      </c>
      <c r="F57" s="237">
        <v>175</v>
      </c>
      <c r="G57" s="237">
        <v>12</v>
      </c>
      <c r="H57" s="1" t="s">
        <v>363</v>
      </c>
      <c r="I57" s="236" t="s">
        <v>362</v>
      </c>
      <c r="J57" s="235">
        <v>1631</v>
      </c>
      <c r="K57" s="1">
        <v>14</v>
      </c>
      <c r="L57" s="1" t="s">
        <v>365</v>
      </c>
      <c r="M57" s="1" t="s">
        <v>364</v>
      </c>
      <c r="N57" s="1">
        <v>1815</v>
      </c>
      <c r="O57" s="1">
        <v>14</v>
      </c>
      <c r="P57" s="1" t="s">
        <v>361</v>
      </c>
      <c r="Q57" s="1" t="s">
        <v>360</v>
      </c>
      <c r="T57" s="214"/>
    </row>
    <row r="58" spans="1:20" ht="28.15" hidden="1" customHeight="1" x14ac:dyDescent="0.2">
      <c r="A58" s="242"/>
      <c r="B58" s="240">
        <v>175</v>
      </c>
      <c r="C58" s="237">
        <v>12</v>
      </c>
      <c r="D58" s="1" t="s">
        <v>363</v>
      </c>
      <c r="E58" s="1" t="s">
        <v>362</v>
      </c>
      <c r="F58" s="244">
        <v>204</v>
      </c>
      <c r="G58" s="237">
        <v>12</v>
      </c>
      <c r="H58" s="1" t="s">
        <v>359</v>
      </c>
      <c r="I58" s="236" t="s">
        <v>358</v>
      </c>
      <c r="J58" s="235">
        <v>1815</v>
      </c>
      <c r="K58" s="1">
        <v>14</v>
      </c>
      <c r="L58" s="1" t="s">
        <v>361</v>
      </c>
      <c r="M58" s="1" t="s">
        <v>360</v>
      </c>
      <c r="N58" s="1">
        <v>2001</v>
      </c>
      <c r="O58" s="1">
        <v>15</v>
      </c>
      <c r="P58" s="1" t="s">
        <v>357</v>
      </c>
      <c r="Q58" s="1" t="s">
        <v>356</v>
      </c>
      <c r="T58" s="214"/>
    </row>
    <row r="59" spans="1:20" ht="28.15" hidden="1" customHeight="1" x14ac:dyDescent="0.2">
      <c r="A59" s="242"/>
      <c r="B59" s="243">
        <v>204</v>
      </c>
      <c r="C59" s="237">
        <v>12</v>
      </c>
      <c r="D59" s="1" t="s">
        <v>359</v>
      </c>
      <c r="E59" s="1" t="s">
        <v>358</v>
      </c>
      <c r="F59" s="237">
        <v>241</v>
      </c>
      <c r="G59" s="237">
        <v>12</v>
      </c>
      <c r="H59" s="1" t="s">
        <v>355</v>
      </c>
      <c r="I59" s="236" t="s">
        <v>354</v>
      </c>
      <c r="J59" s="235">
        <v>2001</v>
      </c>
      <c r="K59" s="1">
        <v>15</v>
      </c>
      <c r="L59" s="1" t="s">
        <v>357</v>
      </c>
      <c r="M59" s="1" t="s">
        <v>356</v>
      </c>
      <c r="N59" s="1">
        <v>2044</v>
      </c>
      <c r="O59" s="1">
        <v>16</v>
      </c>
      <c r="P59" s="1" t="s">
        <v>353</v>
      </c>
      <c r="Q59" s="1" t="s">
        <v>352</v>
      </c>
      <c r="T59" s="214"/>
    </row>
    <row r="60" spans="1:20" ht="28.15" hidden="1" customHeight="1" x14ac:dyDescent="0.2">
      <c r="A60" s="242"/>
      <c r="B60" s="240">
        <v>241</v>
      </c>
      <c r="C60" s="237">
        <v>12</v>
      </c>
      <c r="D60" s="1" t="s">
        <v>355</v>
      </c>
      <c r="E60" s="1" t="s">
        <v>354</v>
      </c>
      <c r="F60" s="237">
        <v>279</v>
      </c>
      <c r="G60" s="237">
        <v>12</v>
      </c>
      <c r="H60" s="1" t="s">
        <v>351</v>
      </c>
      <c r="I60" s="236" t="s">
        <v>350</v>
      </c>
      <c r="J60" s="235">
        <v>2044</v>
      </c>
      <c r="K60" s="1">
        <v>16</v>
      </c>
      <c r="L60" s="1" t="s">
        <v>353</v>
      </c>
      <c r="M60" s="1" t="s">
        <v>352</v>
      </c>
      <c r="N60" s="1">
        <v>2171</v>
      </c>
      <c r="O60" s="1">
        <v>16</v>
      </c>
      <c r="P60" s="1" t="s">
        <v>349</v>
      </c>
      <c r="Q60" s="1" t="s">
        <v>348</v>
      </c>
      <c r="T60" s="214"/>
    </row>
    <row r="61" spans="1:20" ht="28.15" hidden="1" customHeight="1" x14ac:dyDescent="0.2">
      <c r="A61" s="241"/>
      <c r="B61" s="240">
        <v>279</v>
      </c>
      <c r="C61" s="237">
        <v>12</v>
      </c>
      <c r="D61" s="1" t="s">
        <v>351</v>
      </c>
      <c r="E61" s="1" t="s">
        <v>350</v>
      </c>
      <c r="F61" s="237">
        <v>320</v>
      </c>
      <c r="G61" s="237">
        <v>13</v>
      </c>
      <c r="H61" s="1" t="s">
        <v>347</v>
      </c>
      <c r="I61" s="236" t="s">
        <v>346</v>
      </c>
      <c r="J61" s="235">
        <v>2171</v>
      </c>
      <c r="K61" s="1">
        <v>16</v>
      </c>
      <c r="L61" s="1" t="s">
        <v>349</v>
      </c>
      <c r="M61" s="1" t="s">
        <v>348</v>
      </c>
      <c r="N61" s="1">
        <v>2271</v>
      </c>
      <c r="O61" s="1">
        <v>17</v>
      </c>
      <c r="P61" s="1" t="s">
        <v>345</v>
      </c>
      <c r="Q61" s="1" t="s">
        <v>344</v>
      </c>
      <c r="T61" s="214"/>
    </row>
    <row r="62" spans="1:20" ht="28.15" hidden="1" customHeight="1" x14ac:dyDescent="0.2">
      <c r="A62" s="229"/>
      <c r="B62" s="240">
        <v>320</v>
      </c>
      <c r="C62" s="237">
        <v>13</v>
      </c>
      <c r="D62" s="1" t="s">
        <v>347</v>
      </c>
      <c r="E62" s="1" t="s">
        <v>346</v>
      </c>
      <c r="F62" s="237">
        <v>350</v>
      </c>
      <c r="G62" s="237">
        <v>13</v>
      </c>
      <c r="H62" s="1" t="s">
        <v>343</v>
      </c>
      <c r="I62" s="236" t="s">
        <v>342</v>
      </c>
      <c r="J62" s="235">
        <v>2271</v>
      </c>
      <c r="K62" s="1">
        <v>17</v>
      </c>
      <c r="L62" s="1" t="s">
        <v>345</v>
      </c>
      <c r="M62" s="1" t="s">
        <v>344</v>
      </c>
      <c r="N62" s="1">
        <v>2380</v>
      </c>
      <c r="O62" s="1">
        <v>17</v>
      </c>
      <c r="P62" s="1" t="s">
        <v>341</v>
      </c>
      <c r="Q62" s="1" t="s">
        <v>340</v>
      </c>
      <c r="T62" s="214"/>
    </row>
    <row r="63" spans="1:20" ht="28.15" hidden="1" customHeight="1" x14ac:dyDescent="0.2">
      <c r="A63" s="229"/>
      <c r="B63" s="240">
        <v>350</v>
      </c>
      <c r="C63" s="237">
        <v>13</v>
      </c>
      <c r="D63" s="1" t="s">
        <v>343</v>
      </c>
      <c r="E63" s="1" t="s">
        <v>342</v>
      </c>
      <c r="F63" s="237">
        <v>400</v>
      </c>
      <c r="G63" s="237">
        <v>13</v>
      </c>
      <c r="H63" s="1" t="s">
        <v>339</v>
      </c>
      <c r="I63" s="236" t="s">
        <v>338</v>
      </c>
      <c r="J63" s="235">
        <v>2380</v>
      </c>
      <c r="K63" s="1">
        <v>17</v>
      </c>
      <c r="L63" s="1" t="s">
        <v>341</v>
      </c>
      <c r="M63" s="1" t="s">
        <v>340</v>
      </c>
      <c r="N63" s="1">
        <v>2498</v>
      </c>
      <c r="O63" s="1">
        <v>18</v>
      </c>
      <c r="P63" s="1" t="s">
        <v>337</v>
      </c>
      <c r="Q63" s="1" t="s">
        <v>336</v>
      </c>
      <c r="T63" s="214"/>
    </row>
    <row r="64" spans="1:20" ht="28.15" hidden="1" customHeight="1" x14ac:dyDescent="0.2">
      <c r="A64" s="229"/>
      <c r="B64" s="240">
        <v>400</v>
      </c>
      <c r="C64" s="237">
        <v>13</v>
      </c>
      <c r="D64" s="1" t="s">
        <v>339</v>
      </c>
      <c r="E64" s="1" t="s">
        <v>338</v>
      </c>
      <c r="F64" s="237">
        <v>477</v>
      </c>
      <c r="G64" s="237">
        <v>14</v>
      </c>
      <c r="H64" s="1" t="s">
        <v>335</v>
      </c>
      <c r="I64" s="236" t="s">
        <v>334</v>
      </c>
      <c r="J64" s="235">
        <v>2498</v>
      </c>
      <c r="K64" s="1">
        <v>18</v>
      </c>
      <c r="L64" s="1" t="s">
        <v>337</v>
      </c>
      <c r="M64" s="1" t="s">
        <v>336</v>
      </c>
      <c r="N64" s="1">
        <v>2639</v>
      </c>
      <c r="O64" s="1">
        <v>18</v>
      </c>
      <c r="P64" s="1" t="s">
        <v>333</v>
      </c>
      <c r="Q64" s="1" t="s">
        <v>332</v>
      </c>
      <c r="T64" s="214"/>
    </row>
    <row r="65" spans="1:20" ht="28.15" hidden="1" customHeight="1" x14ac:dyDescent="0.2">
      <c r="A65" s="229"/>
      <c r="B65" s="240">
        <v>477</v>
      </c>
      <c r="C65" s="237">
        <v>14</v>
      </c>
      <c r="D65" s="1" t="s">
        <v>335</v>
      </c>
      <c r="E65" s="1" t="s">
        <v>334</v>
      </c>
      <c r="F65" s="237">
        <v>545</v>
      </c>
      <c r="G65" s="237">
        <v>14</v>
      </c>
      <c r="H65" s="1" t="s">
        <v>331</v>
      </c>
      <c r="I65" s="236" t="s">
        <v>330</v>
      </c>
      <c r="J65" s="235">
        <v>2639</v>
      </c>
      <c r="K65" s="1">
        <v>18</v>
      </c>
      <c r="L65" s="1" t="s">
        <v>333</v>
      </c>
      <c r="M65" s="1" t="s">
        <v>332</v>
      </c>
      <c r="N65" s="1">
        <v>2871</v>
      </c>
      <c r="O65" s="1">
        <v>19</v>
      </c>
      <c r="P65" s="1" t="s">
        <v>329</v>
      </c>
      <c r="Q65" s="1" t="s">
        <v>328</v>
      </c>
      <c r="T65" s="214"/>
    </row>
    <row r="66" spans="1:20" ht="28.15" hidden="1" customHeight="1" x14ac:dyDescent="0.2">
      <c r="A66" s="229"/>
      <c r="B66" s="240">
        <v>545</v>
      </c>
      <c r="C66" s="237">
        <v>14</v>
      </c>
      <c r="D66" s="1" t="s">
        <v>331</v>
      </c>
      <c r="E66" s="1" t="s">
        <v>330</v>
      </c>
      <c r="F66" s="237">
        <v>615</v>
      </c>
      <c r="G66" s="237">
        <v>14</v>
      </c>
      <c r="H66" s="1" t="s">
        <v>327</v>
      </c>
      <c r="I66" s="236" t="s">
        <v>326</v>
      </c>
      <c r="J66" s="235">
        <v>2871</v>
      </c>
      <c r="K66" s="1">
        <v>19</v>
      </c>
      <c r="L66" s="1" t="s">
        <v>329</v>
      </c>
      <c r="M66" s="1" t="s">
        <v>328</v>
      </c>
      <c r="N66" s="1">
        <v>3191</v>
      </c>
      <c r="O66" s="1">
        <v>21</v>
      </c>
      <c r="P66" s="1" t="s">
        <v>325</v>
      </c>
      <c r="Q66" s="1" t="s">
        <v>324</v>
      </c>
      <c r="T66" s="214"/>
    </row>
    <row r="67" spans="1:20" ht="28.15" hidden="1" customHeight="1" x14ac:dyDescent="0.2">
      <c r="A67" s="229"/>
      <c r="B67" s="240">
        <v>615</v>
      </c>
      <c r="C67" s="237">
        <v>14</v>
      </c>
      <c r="D67" s="1" t="s">
        <v>327</v>
      </c>
      <c r="E67" s="1" t="s">
        <v>326</v>
      </c>
      <c r="F67" s="237">
        <v>670</v>
      </c>
      <c r="G67" s="237">
        <v>14</v>
      </c>
      <c r="H67" s="1" t="s">
        <v>323</v>
      </c>
      <c r="I67" s="236" t="s">
        <v>322</v>
      </c>
      <c r="J67" s="235">
        <v>3191</v>
      </c>
      <c r="K67" s="1">
        <v>21</v>
      </c>
      <c r="L67" s="1" t="s">
        <v>325</v>
      </c>
      <c r="M67" s="1" t="s">
        <v>324</v>
      </c>
      <c r="N67" s="1">
        <v>3407</v>
      </c>
      <c r="O67" s="1">
        <v>22</v>
      </c>
      <c r="P67" s="1" t="s">
        <v>321</v>
      </c>
      <c r="Q67" s="1" t="s">
        <v>320</v>
      </c>
      <c r="T67" s="214"/>
    </row>
    <row r="68" spans="1:20" ht="28.15" hidden="1" customHeight="1" x14ac:dyDescent="0.2">
      <c r="A68" s="229"/>
      <c r="B68" s="240">
        <v>670</v>
      </c>
      <c r="C68" s="237">
        <v>14</v>
      </c>
      <c r="D68" s="1" t="s">
        <v>323</v>
      </c>
      <c r="E68" s="1" t="s">
        <v>322</v>
      </c>
      <c r="F68" s="237">
        <v>736</v>
      </c>
      <c r="G68" s="237">
        <v>14</v>
      </c>
      <c r="H68" s="1" t="s">
        <v>319</v>
      </c>
      <c r="I68" s="236" t="s">
        <v>318</v>
      </c>
      <c r="J68" s="235">
        <v>3407</v>
      </c>
      <c r="K68" s="1">
        <v>22</v>
      </c>
      <c r="L68" s="1" t="s">
        <v>321</v>
      </c>
      <c r="M68" s="1" t="s">
        <v>320</v>
      </c>
      <c r="N68" s="1">
        <v>3486</v>
      </c>
      <c r="O68" s="1">
        <v>22</v>
      </c>
      <c r="P68" s="1" t="s">
        <v>317</v>
      </c>
      <c r="Q68" s="1" t="s">
        <v>316</v>
      </c>
      <c r="T68" s="214"/>
    </row>
    <row r="69" spans="1:20" ht="28.15" hidden="1" customHeight="1" x14ac:dyDescent="0.2">
      <c r="A69" s="229"/>
      <c r="B69" s="240">
        <v>736</v>
      </c>
      <c r="C69" s="237">
        <v>14</v>
      </c>
      <c r="D69" s="1" t="s">
        <v>319</v>
      </c>
      <c r="E69" s="1" t="s">
        <v>318</v>
      </c>
      <c r="F69" s="237">
        <v>799</v>
      </c>
      <c r="G69" s="237">
        <v>16</v>
      </c>
      <c r="H69" s="1" t="s">
        <v>315</v>
      </c>
      <c r="I69" s="236" t="s">
        <v>314</v>
      </c>
      <c r="J69" s="235">
        <v>3486</v>
      </c>
      <c r="K69" s="1">
        <v>22</v>
      </c>
      <c r="L69" s="1" t="s">
        <v>317</v>
      </c>
      <c r="M69" s="1" t="s">
        <v>316</v>
      </c>
      <c r="N69" s="1">
        <v>3634</v>
      </c>
      <c r="O69" s="1">
        <v>20</v>
      </c>
      <c r="P69" s="1" t="s">
        <v>313</v>
      </c>
      <c r="Q69" s="1" t="s">
        <v>312</v>
      </c>
      <c r="T69" s="214"/>
    </row>
    <row r="70" spans="1:20" ht="28.15" hidden="1" customHeight="1" x14ac:dyDescent="0.2">
      <c r="A70" s="229"/>
      <c r="B70" s="240">
        <v>799</v>
      </c>
      <c r="C70" s="237">
        <v>16</v>
      </c>
      <c r="D70" s="1" t="s">
        <v>315</v>
      </c>
      <c r="E70" s="1" t="s">
        <v>314</v>
      </c>
      <c r="F70" s="237">
        <v>870</v>
      </c>
      <c r="G70" s="237">
        <v>19</v>
      </c>
      <c r="H70" s="1" t="s">
        <v>311</v>
      </c>
      <c r="I70" s="236" t="s">
        <v>310</v>
      </c>
      <c r="J70" s="235">
        <v>3634</v>
      </c>
      <c r="K70" s="1">
        <v>20</v>
      </c>
      <c r="L70" s="1" t="s">
        <v>313</v>
      </c>
      <c r="M70" s="1" t="s">
        <v>312</v>
      </c>
      <c r="N70" s="1">
        <v>3681</v>
      </c>
      <c r="O70" s="1">
        <v>21</v>
      </c>
      <c r="P70" s="1" t="s">
        <v>309</v>
      </c>
      <c r="Q70" s="1" t="s">
        <v>308</v>
      </c>
      <c r="T70" s="214"/>
    </row>
    <row r="71" spans="1:20" ht="28.15" hidden="1" customHeight="1" x14ac:dyDescent="0.2">
      <c r="A71" s="229"/>
      <c r="B71" s="240">
        <v>870</v>
      </c>
      <c r="C71" s="237">
        <v>19</v>
      </c>
      <c r="D71" s="1" t="s">
        <v>311</v>
      </c>
      <c r="E71" s="1" t="s">
        <v>310</v>
      </c>
      <c r="F71" s="237">
        <v>936</v>
      </c>
      <c r="G71" s="237">
        <v>21</v>
      </c>
      <c r="H71" s="1" t="s">
        <v>307</v>
      </c>
      <c r="I71" s="236" t="s">
        <v>306</v>
      </c>
      <c r="J71" s="235">
        <v>3681</v>
      </c>
      <c r="K71" s="1">
        <v>21</v>
      </c>
      <c r="L71" s="1" t="s">
        <v>309</v>
      </c>
      <c r="M71" s="1" t="s">
        <v>308</v>
      </c>
      <c r="N71" s="1">
        <v>4088</v>
      </c>
      <c r="O71" s="1">
        <v>21</v>
      </c>
      <c r="P71" s="1" t="s">
        <v>305</v>
      </c>
      <c r="Q71" s="1" t="s">
        <v>304</v>
      </c>
      <c r="T71" s="214"/>
    </row>
    <row r="72" spans="1:20" ht="28.15" hidden="1" customHeight="1" x14ac:dyDescent="0.2">
      <c r="A72" s="229"/>
      <c r="B72" s="240">
        <v>936</v>
      </c>
      <c r="C72" s="237">
        <v>21</v>
      </c>
      <c r="D72" s="1" t="s">
        <v>307</v>
      </c>
      <c r="E72" s="1" t="s">
        <v>306</v>
      </c>
      <c r="F72" s="237">
        <v>1020</v>
      </c>
      <c r="G72" s="237">
        <v>22</v>
      </c>
      <c r="H72" s="1" t="s">
        <v>303</v>
      </c>
      <c r="I72" s="236" t="s">
        <v>302</v>
      </c>
      <c r="J72" s="235">
        <v>4088</v>
      </c>
      <c r="K72" s="1">
        <v>21</v>
      </c>
      <c r="L72" s="1" t="s">
        <v>305</v>
      </c>
      <c r="M72" s="1" t="s">
        <v>304</v>
      </c>
      <c r="N72" s="1">
        <v>4315</v>
      </c>
      <c r="O72" s="1">
        <v>21</v>
      </c>
      <c r="P72" s="1" t="s">
        <v>301</v>
      </c>
      <c r="Q72" s="1" t="s">
        <v>300</v>
      </c>
      <c r="T72" s="214"/>
    </row>
    <row r="73" spans="1:20" ht="28.15" hidden="1" customHeight="1" x14ac:dyDescent="0.2">
      <c r="A73" s="229"/>
      <c r="B73" s="240">
        <v>1020</v>
      </c>
      <c r="C73" s="237">
        <v>22</v>
      </c>
      <c r="D73" s="1" t="s">
        <v>303</v>
      </c>
      <c r="E73" s="1" t="s">
        <v>302</v>
      </c>
      <c r="F73" s="237">
        <v>1081</v>
      </c>
      <c r="G73" s="237">
        <v>22</v>
      </c>
      <c r="H73" s="1" t="s">
        <v>299</v>
      </c>
      <c r="I73" s="236" t="s">
        <v>298</v>
      </c>
      <c r="J73" s="235">
        <v>4315</v>
      </c>
      <c r="K73" s="1">
        <v>21</v>
      </c>
      <c r="L73" s="1" t="s">
        <v>301</v>
      </c>
      <c r="M73" s="1" t="s">
        <v>300</v>
      </c>
      <c r="N73" s="1">
        <v>4542</v>
      </c>
      <c r="O73" s="1">
        <v>22</v>
      </c>
      <c r="P73" s="1" t="s">
        <v>297</v>
      </c>
      <c r="Q73" s="1" t="s">
        <v>296</v>
      </c>
      <c r="T73" s="214"/>
    </row>
    <row r="74" spans="1:20" ht="28.15" hidden="1" customHeight="1" x14ac:dyDescent="0.2">
      <c r="A74" s="229"/>
      <c r="B74" s="240">
        <v>1081</v>
      </c>
      <c r="C74" s="237">
        <v>22</v>
      </c>
      <c r="D74" s="1" t="s">
        <v>299</v>
      </c>
      <c r="E74" s="1" t="s">
        <v>298</v>
      </c>
      <c r="F74" s="237">
        <v>1195</v>
      </c>
      <c r="G74" s="237">
        <v>22</v>
      </c>
      <c r="H74" s="1" t="s">
        <v>295</v>
      </c>
      <c r="I74" s="236" t="s">
        <v>294</v>
      </c>
      <c r="J74" s="235">
        <v>4542</v>
      </c>
      <c r="K74" s="1">
        <v>22</v>
      </c>
      <c r="L74" s="1" t="s">
        <v>297</v>
      </c>
      <c r="M74" s="1" t="s">
        <v>296</v>
      </c>
      <c r="N74" s="1">
        <v>4769</v>
      </c>
      <c r="O74" s="1">
        <v>22</v>
      </c>
      <c r="P74" s="1" t="s">
        <v>293</v>
      </c>
      <c r="Q74" s="1" t="s">
        <v>292</v>
      </c>
      <c r="T74" s="214"/>
    </row>
    <row r="75" spans="1:20" ht="28.15" hidden="1" customHeight="1" x14ac:dyDescent="0.2">
      <c r="A75" s="229"/>
      <c r="B75" s="240">
        <v>1195</v>
      </c>
      <c r="C75" s="237">
        <v>22</v>
      </c>
      <c r="D75" s="1" t="s">
        <v>295</v>
      </c>
      <c r="E75" s="1" t="s">
        <v>294</v>
      </c>
      <c r="F75" s="237">
        <v>1335</v>
      </c>
      <c r="G75" s="237">
        <v>23</v>
      </c>
      <c r="H75" s="1" t="s">
        <v>291</v>
      </c>
      <c r="I75" s="236" t="s">
        <v>290</v>
      </c>
      <c r="J75" s="235">
        <v>4769</v>
      </c>
      <c r="K75" s="1">
        <v>22</v>
      </c>
      <c r="L75" s="1" t="s">
        <v>293</v>
      </c>
      <c r="M75" s="1" t="s">
        <v>292</v>
      </c>
      <c r="N75" s="1">
        <v>4996</v>
      </c>
      <c r="O75" s="1">
        <v>23</v>
      </c>
      <c r="P75" s="1" t="s">
        <v>289</v>
      </c>
      <c r="Q75" s="1" t="s">
        <v>288</v>
      </c>
      <c r="T75" s="214"/>
    </row>
    <row r="76" spans="1:20" ht="28.15" hidden="1" customHeight="1" x14ac:dyDescent="0.2">
      <c r="A76" s="229"/>
      <c r="B76" s="240">
        <v>1335</v>
      </c>
      <c r="C76" s="237">
        <v>23</v>
      </c>
      <c r="D76" s="1" t="s">
        <v>291</v>
      </c>
      <c r="E76" s="1" t="s">
        <v>290</v>
      </c>
      <c r="F76" s="237">
        <v>1483</v>
      </c>
      <c r="G76" s="237">
        <v>23</v>
      </c>
      <c r="H76" s="1" t="s">
        <v>287</v>
      </c>
      <c r="I76" s="236" t="s">
        <v>286</v>
      </c>
      <c r="J76" s="235">
        <v>4996</v>
      </c>
      <c r="K76" s="1">
        <v>23</v>
      </c>
      <c r="L76" s="1" t="s">
        <v>289</v>
      </c>
      <c r="M76" s="1" t="s">
        <v>288</v>
      </c>
      <c r="N76" s="1">
        <v>5450</v>
      </c>
      <c r="O76" s="1">
        <v>24</v>
      </c>
      <c r="P76" s="1" t="s">
        <v>285</v>
      </c>
      <c r="Q76" s="1" t="s">
        <v>284</v>
      </c>
      <c r="T76" s="214"/>
    </row>
    <row r="77" spans="1:20" ht="28.15" hidden="1" customHeight="1" x14ac:dyDescent="0.2">
      <c r="A77" s="229"/>
      <c r="B77" s="240">
        <v>1483</v>
      </c>
      <c r="C77" s="237">
        <v>23</v>
      </c>
      <c r="D77" s="1" t="s">
        <v>287</v>
      </c>
      <c r="E77" s="1" t="s">
        <v>286</v>
      </c>
      <c r="F77" s="237">
        <v>1581</v>
      </c>
      <c r="G77" s="237">
        <v>23</v>
      </c>
      <c r="H77" s="1" t="s">
        <v>283</v>
      </c>
      <c r="I77" s="236" t="s">
        <v>282</v>
      </c>
      <c r="J77" s="235">
        <v>5450</v>
      </c>
      <c r="K77" s="1">
        <v>24</v>
      </c>
      <c r="L77" s="1" t="s">
        <v>285</v>
      </c>
      <c r="M77" s="1" t="s">
        <v>284</v>
      </c>
      <c r="N77" s="1">
        <v>5905</v>
      </c>
      <c r="O77" s="1">
        <v>25</v>
      </c>
      <c r="P77" s="1" t="s">
        <v>281</v>
      </c>
      <c r="Q77" s="1" t="s">
        <v>280</v>
      </c>
      <c r="T77" s="214"/>
    </row>
    <row r="78" spans="1:20" ht="28.15" hidden="1" customHeight="1" x14ac:dyDescent="0.2">
      <c r="A78" s="229"/>
      <c r="B78" s="240">
        <v>1581</v>
      </c>
      <c r="C78" s="237">
        <v>23</v>
      </c>
      <c r="D78" s="1" t="s">
        <v>283</v>
      </c>
      <c r="E78" s="1" t="s">
        <v>282</v>
      </c>
      <c r="F78" s="237">
        <v>1774</v>
      </c>
      <c r="G78" s="237">
        <v>24</v>
      </c>
      <c r="H78" s="1" t="s">
        <v>279</v>
      </c>
      <c r="I78" s="236" t="s">
        <v>278</v>
      </c>
      <c r="J78" s="235">
        <v>5905</v>
      </c>
      <c r="K78" s="1">
        <v>25</v>
      </c>
      <c r="L78" s="1" t="s">
        <v>281</v>
      </c>
      <c r="M78" s="1" t="s">
        <v>280</v>
      </c>
      <c r="N78" s="1">
        <v>6539</v>
      </c>
      <c r="O78" s="1">
        <v>26</v>
      </c>
      <c r="P78" s="1" t="s">
        <v>277</v>
      </c>
      <c r="Q78" s="1" t="s">
        <v>276</v>
      </c>
      <c r="T78" s="214"/>
    </row>
    <row r="79" spans="1:20" ht="28.15" hidden="1" customHeight="1" x14ac:dyDescent="0.2">
      <c r="A79" s="229"/>
      <c r="B79" s="240">
        <v>1774</v>
      </c>
      <c r="C79" s="237">
        <v>24</v>
      </c>
      <c r="D79" s="1" t="s">
        <v>279</v>
      </c>
      <c r="E79" s="1" t="s">
        <v>278</v>
      </c>
      <c r="F79" s="237">
        <v>1883</v>
      </c>
      <c r="G79" s="237">
        <v>24</v>
      </c>
      <c r="H79" s="1" t="s">
        <v>275</v>
      </c>
      <c r="I79" s="236" t="s">
        <v>274</v>
      </c>
      <c r="J79" s="235">
        <v>6539</v>
      </c>
      <c r="K79" s="1">
        <v>26</v>
      </c>
      <c r="L79" s="1" t="s">
        <v>277</v>
      </c>
      <c r="M79" s="1" t="s">
        <v>276</v>
      </c>
      <c r="N79" s="1">
        <v>6831</v>
      </c>
      <c r="O79" s="1">
        <v>27</v>
      </c>
      <c r="P79" s="1" t="s">
        <v>273</v>
      </c>
      <c r="Q79" s="1" t="s">
        <v>272</v>
      </c>
      <c r="T79" s="214"/>
    </row>
    <row r="80" spans="1:20" ht="28.15" hidden="1" customHeight="1" x14ac:dyDescent="0.2">
      <c r="A80" s="229"/>
      <c r="B80" s="240">
        <v>1883</v>
      </c>
      <c r="C80" s="237">
        <v>24</v>
      </c>
      <c r="D80" s="1" t="s">
        <v>275</v>
      </c>
      <c r="E80" s="1" t="s">
        <v>274</v>
      </c>
      <c r="F80" s="237">
        <v>2080</v>
      </c>
      <c r="G80" s="237">
        <v>25</v>
      </c>
      <c r="H80" s="1" t="s">
        <v>271</v>
      </c>
      <c r="I80" s="236" t="s">
        <v>270</v>
      </c>
      <c r="J80" s="235">
        <v>6831</v>
      </c>
      <c r="K80" s="1">
        <v>27</v>
      </c>
      <c r="L80" s="1" t="s">
        <v>273</v>
      </c>
      <c r="M80" s="1" t="s">
        <v>272</v>
      </c>
      <c r="N80" s="1">
        <v>7267</v>
      </c>
      <c r="O80" s="1">
        <v>28</v>
      </c>
      <c r="P80" s="1" t="s">
        <v>269</v>
      </c>
      <c r="Q80" s="1" t="s">
        <v>268</v>
      </c>
      <c r="T80" s="214"/>
    </row>
    <row r="81" spans="1:20" ht="28.15" hidden="1" customHeight="1" x14ac:dyDescent="0.2">
      <c r="A81" s="229"/>
      <c r="B81" s="240">
        <v>2080</v>
      </c>
      <c r="C81" s="237">
        <v>25</v>
      </c>
      <c r="D81" s="1" t="s">
        <v>271</v>
      </c>
      <c r="E81" s="1" t="s">
        <v>270</v>
      </c>
      <c r="F81" s="237">
        <v>2251</v>
      </c>
      <c r="G81" s="237">
        <v>26</v>
      </c>
      <c r="H81" s="1" t="s">
        <v>267</v>
      </c>
      <c r="I81" s="236" t="s">
        <v>266</v>
      </c>
      <c r="J81" s="235">
        <v>7267</v>
      </c>
      <c r="K81" s="1">
        <v>28</v>
      </c>
      <c r="L81" s="1" t="s">
        <v>269</v>
      </c>
      <c r="M81" s="1" t="s">
        <v>268</v>
      </c>
      <c r="N81" s="1">
        <v>7721</v>
      </c>
      <c r="O81" s="1">
        <v>30</v>
      </c>
      <c r="P81" s="1" t="s">
        <v>265</v>
      </c>
      <c r="Q81" s="1" t="s">
        <v>264</v>
      </c>
      <c r="T81" s="214"/>
    </row>
    <row r="82" spans="1:20" ht="28.15" hidden="1" customHeight="1" x14ac:dyDescent="0.2">
      <c r="A82" s="229"/>
      <c r="B82" s="240">
        <v>2251</v>
      </c>
      <c r="C82" s="237">
        <v>26</v>
      </c>
      <c r="D82" s="1" t="s">
        <v>267</v>
      </c>
      <c r="E82" s="1" t="s">
        <v>266</v>
      </c>
      <c r="F82" s="237">
        <v>2319</v>
      </c>
      <c r="G82" s="237">
        <v>27</v>
      </c>
      <c r="H82" s="1" t="s">
        <v>263</v>
      </c>
      <c r="I82" s="236" t="s">
        <v>262</v>
      </c>
      <c r="J82" s="235">
        <v>7721</v>
      </c>
      <c r="K82" s="1">
        <v>30</v>
      </c>
      <c r="L82" s="1" t="s">
        <v>265</v>
      </c>
      <c r="M82" s="1" t="s">
        <v>264</v>
      </c>
      <c r="N82" s="1">
        <v>8176</v>
      </c>
      <c r="O82" s="1">
        <v>31</v>
      </c>
      <c r="P82" s="1" t="s">
        <v>261</v>
      </c>
      <c r="Q82" s="1" t="s">
        <v>260</v>
      </c>
      <c r="T82" s="214"/>
    </row>
    <row r="83" spans="1:20" ht="28.15" hidden="1" customHeight="1" x14ac:dyDescent="0.2">
      <c r="A83" s="229"/>
      <c r="B83" s="240">
        <v>2319</v>
      </c>
      <c r="C83" s="237">
        <v>27</v>
      </c>
      <c r="D83" s="1" t="s">
        <v>263</v>
      </c>
      <c r="E83" s="1" t="s">
        <v>262</v>
      </c>
      <c r="F83" s="237">
        <v>2448</v>
      </c>
      <c r="G83" s="237">
        <v>28</v>
      </c>
      <c r="H83" s="1" t="s">
        <v>259</v>
      </c>
      <c r="I83" s="236" t="s">
        <v>258</v>
      </c>
      <c r="J83" s="235">
        <v>8176</v>
      </c>
      <c r="K83" s="1">
        <v>31</v>
      </c>
      <c r="L83" s="1" t="s">
        <v>261</v>
      </c>
      <c r="M83" s="1" t="s">
        <v>260</v>
      </c>
      <c r="N83" s="1">
        <v>8630</v>
      </c>
      <c r="O83" s="1">
        <v>33</v>
      </c>
      <c r="P83" s="1" t="s">
        <v>257</v>
      </c>
      <c r="Q83" s="1" t="s">
        <v>256</v>
      </c>
      <c r="T83" s="214"/>
    </row>
    <row r="84" spans="1:20" ht="28.15" hidden="1" customHeight="1" thickBot="1" x14ac:dyDescent="0.25">
      <c r="A84" s="229"/>
      <c r="B84" s="239">
        <v>2448</v>
      </c>
      <c r="C84" s="238">
        <v>28</v>
      </c>
      <c r="D84" s="233" t="s">
        <v>259</v>
      </c>
      <c r="E84" s="233" t="s">
        <v>258</v>
      </c>
      <c r="F84" s="237">
        <v>2448</v>
      </c>
      <c r="G84" s="237">
        <v>28</v>
      </c>
      <c r="H84" s="1" t="s">
        <v>259</v>
      </c>
      <c r="I84" s="236" t="s">
        <v>258</v>
      </c>
      <c r="J84" s="235">
        <v>8630</v>
      </c>
      <c r="K84" s="1">
        <v>33</v>
      </c>
      <c r="L84" s="1" t="s">
        <v>257</v>
      </c>
      <c r="M84" s="1" t="s">
        <v>256</v>
      </c>
      <c r="N84" s="1">
        <v>9084</v>
      </c>
      <c r="O84" s="1">
        <v>34</v>
      </c>
      <c r="P84" s="1" t="s">
        <v>255</v>
      </c>
      <c r="Q84" s="1" t="s">
        <v>254</v>
      </c>
      <c r="T84" s="214"/>
    </row>
    <row r="85" spans="1:20" ht="28.15" hidden="1" customHeight="1" x14ac:dyDescent="0.2">
      <c r="A85" s="229"/>
      <c r="J85" s="235">
        <v>9084</v>
      </c>
      <c r="K85" s="1">
        <v>34</v>
      </c>
      <c r="L85" s="1" t="s">
        <v>255</v>
      </c>
      <c r="M85" s="1" t="s">
        <v>254</v>
      </c>
      <c r="N85" s="1">
        <v>9538</v>
      </c>
      <c r="O85" s="1">
        <v>36</v>
      </c>
      <c r="P85" s="1" t="s">
        <v>253</v>
      </c>
      <c r="Q85" s="1" t="s">
        <v>252</v>
      </c>
      <c r="T85" s="214"/>
    </row>
    <row r="86" spans="1:20" ht="28.15" hidden="1" customHeight="1" x14ac:dyDescent="0.2">
      <c r="A86" s="229"/>
      <c r="J86" s="235">
        <v>9538</v>
      </c>
      <c r="K86" s="1">
        <v>36</v>
      </c>
      <c r="L86" s="1" t="s">
        <v>253</v>
      </c>
      <c r="M86" s="1" t="s">
        <v>252</v>
      </c>
      <c r="N86" s="1">
        <v>9990</v>
      </c>
      <c r="O86" s="1">
        <v>38</v>
      </c>
      <c r="P86" s="1" t="s">
        <v>251</v>
      </c>
      <c r="Q86" s="1" t="s">
        <v>250</v>
      </c>
      <c r="T86" s="214"/>
    </row>
    <row r="87" spans="1:20" ht="28.15" hidden="1" customHeight="1" x14ac:dyDescent="0.2">
      <c r="A87" s="229"/>
      <c r="J87" s="235">
        <v>9990</v>
      </c>
      <c r="K87" s="1">
        <v>38</v>
      </c>
      <c r="L87" s="1" t="s">
        <v>251</v>
      </c>
      <c r="M87" s="1" t="s">
        <v>250</v>
      </c>
      <c r="N87" s="1">
        <v>10445</v>
      </c>
      <c r="O87" s="1">
        <v>40</v>
      </c>
      <c r="P87" s="1" t="s">
        <v>249</v>
      </c>
      <c r="Q87" s="1" t="s">
        <v>248</v>
      </c>
      <c r="T87" s="214"/>
    </row>
    <row r="88" spans="1:20" ht="28.15" hidden="1" customHeight="1" x14ac:dyDescent="0.2">
      <c r="A88" s="229"/>
      <c r="J88" s="235">
        <v>10445</v>
      </c>
      <c r="K88" s="1">
        <v>40</v>
      </c>
      <c r="L88" s="1" t="s">
        <v>249</v>
      </c>
      <c r="M88" s="1" t="s">
        <v>248</v>
      </c>
      <c r="N88" s="1">
        <v>10900</v>
      </c>
      <c r="O88" s="1">
        <v>42</v>
      </c>
      <c r="P88" s="1" t="s">
        <v>247</v>
      </c>
      <c r="Q88" s="1" t="s">
        <v>246</v>
      </c>
      <c r="T88" s="214"/>
    </row>
    <row r="89" spans="1:20" ht="28.15" hidden="1" customHeight="1" thickBot="1" x14ac:dyDescent="0.25">
      <c r="A89" s="229"/>
      <c r="J89" s="235">
        <v>10900</v>
      </c>
      <c r="K89" s="1">
        <v>42</v>
      </c>
      <c r="L89" s="1" t="s">
        <v>247</v>
      </c>
      <c r="M89" s="1" t="s">
        <v>246</v>
      </c>
      <c r="N89" s="1">
        <v>11355</v>
      </c>
      <c r="O89" s="1">
        <v>44</v>
      </c>
      <c r="P89" s="233" t="s">
        <v>245</v>
      </c>
      <c r="Q89" s="233" t="s">
        <v>244</v>
      </c>
      <c r="T89" s="214"/>
    </row>
    <row r="90" spans="1:20" ht="28.15" hidden="1" customHeight="1" thickBot="1" x14ac:dyDescent="0.25">
      <c r="A90" s="229"/>
      <c r="J90" s="234">
        <v>11355</v>
      </c>
      <c r="K90" s="233">
        <v>44</v>
      </c>
      <c r="L90" s="233" t="s">
        <v>245</v>
      </c>
      <c r="M90" s="233" t="s">
        <v>244</v>
      </c>
      <c r="N90" s="1">
        <v>11355</v>
      </c>
      <c r="O90" s="1">
        <v>44</v>
      </c>
      <c r="P90" s="233" t="s">
        <v>245</v>
      </c>
      <c r="Q90" s="233" t="s">
        <v>244</v>
      </c>
      <c r="T90" s="214"/>
    </row>
    <row r="91" spans="1:20" ht="28.15" hidden="1" customHeight="1" thickBot="1" x14ac:dyDescent="0.25">
      <c r="A91" s="229"/>
      <c r="B91" s="7"/>
      <c r="D91" s="120"/>
      <c r="E91" s="120"/>
      <c r="F91" s="232"/>
      <c r="G91" s="4"/>
      <c r="H91" s="120"/>
      <c r="T91" s="214"/>
    </row>
    <row r="92" spans="1:20" ht="28.15" hidden="1" customHeight="1" x14ac:dyDescent="0.2">
      <c r="A92" s="229"/>
      <c r="B92" s="7"/>
      <c r="C92" s="514"/>
      <c r="D92" s="515"/>
      <c r="E92" s="515"/>
      <c r="F92" s="516"/>
      <c r="G92" s="4"/>
      <c r="H92" s="514"/>
      <c r="I92" s="515"/>
      <c r="J92" s="515"/>
      <c r="K92" s="516"/>
      <c r="T92" s="214"/>
    </row>
    <row r="93" spans="1:20" ht="13.5" hidden="1" thickTop="1" x14ac:dyDescent="0.2">
      <c r="A93" s="229"/>
      <c r="B93" s="3"/>
      <c r="C93" s="231"/>
      <c r="D93" s="230"/>
      <c r="E93" s="509"/>
      <c r="F93" s="510"/>
      <c r="H93" s="231"/>
      <c r="I93" s="230"/>
      <c r="J93" s="509"/>
      <c r="K93" s="510"/>
      <c r="T93" s="214"/>
    </row>
    <row r="94" spans="1:20" ht="13.5" hidden="1" thickTop="1" x14ac:dyDescent="0.2">
      <c r="A94" s="229"/>
      <c r="B94" s="3"/>
      <c r="C94" s="228"/>
      <c r="D94" s="227"/>
      <c r="E94" s="182"/>
      <c r="F94" s="226"/>
      <c r="H94" s="228"/>
      <c r="I94" s="227"/>
      <c r="J94" s="182"/>
      <c r="K94" s="226"/>
      <c r="T94" s="214"/>
    </row>
    <row r="95" spans="1:20" ht="13.5" hidden="1" thickTop="1" x14ac:dyDescent="0.2">
      <c r="A95" s="215"/>
      <c r="B95" s="7"/>
      <c r="C95" s="225"/>
      <c r="D95" s="224"/>
      <c r="E95" s="223"/>
      <c r="F95" s="222"/>
      <c r="G95" s="15"/>
      <c r="H95" s="225"/>
      <c r="I95" s="224"/>
      <c r="J95" s="223"/>
      <c r="K95" s="222"/>
      <c r="T95" s="214"/>
    </row>
    <row r="96" spans="1:20" ht="14.25" hidden="1" thickTop="1" thickBot="1" x14ac:dyDescent="0.25">
      <c r="A96" s="215"/>
      <c r="B96" s="7"/>
      <c r="C96" s="221"/>
      <c r="D96" s="219"/>
      <c r="E96" s="218"/>
      <c r="F96" s="217"/>
      <c r="G96" s="15"/>
      <c r="H96" s="220"/>
      <c r="I96" s="219"/>
      <c r="J96" s="218"/>
      <c r="K96" s="217"/>
      <c r="T96" s="214"/>
    </row>
    <row r="97" spans="1:20" ht="13.5" hidden="1" thickTop="1" x14ac:dyDescent="0.2">
      <c r="A97" s="215"/>
      <c r="B97" s="4"/>
      <c r="C97" s="12"/>
      <c r="D97" s="12"/>
      <c r="E97" s="12"/>
      <c r="F97" s="216"/>
      <c r="G97" s="15"/>
      <c r="H97" s="12"/>
      <c r="T97" s="214"/>
    </row>
    <row r="98" spans="1:20" ht="13.5" hidden="1" thickTop="1" x14ac:dyDescent="0.2">
      <c r="A98" s="215"/>
      <c r="B98" s="122"/>
      <c r="C98" s="122"/>
      <c r="F98" s="122"/>
      <c r="G98" s="122"/>
      <c r="H98" s="122"/>
      <c r="T98" s="214"/>
    </row>
    <row r="99" spans="1:20" ht="13.5" thickTop="1" x14ac:dyDescent="0.2">
      <c r="A99" s="122"/>
      <c r="B99" s="122"/>
      <c r="C99" s="122"/>
      <c r="D99" s="122"/>
      <c r="E99" s="122"/>
      <c r="F99" s="122"/>
      <c r="G99" s="122"/>
      <c r="H99" s="122"/>
      <c r="I99" s="122"/>
      <c r="J99" s="122"/>
      <c r="T99" s="214"/>
    </row>
    <row r="100" spans="1:20" x14ac:dyDescent="0.2">
      <c r="A100" s="122"/>
      <c r="B100" s="122"/>
      <c r="C100" s="122"/>
      <c r="D100" s="122"/>
      <c r="E100" s="122"/>
      <c r="F100" s="122"/>
      <c r="G100" s="122"/>
      <c r="H100" s="122"/>
      <c r="I100" s="122"/>
      <c r="J100" s="122"/>
      <c r="T100" s="214"/>
    </row>
    <row r="101" spans="1:20" x14ac:dyDescent="0.2">
      <c r="A101" s="122"/>
      <c r="B101" s="122"/>
      <c r="C101" s="122"/>
      <c r="D101" s="122"/>
      <c r="E101" s="122"/>
      <c r="F101" s="122"/>
      <c r="G101" s="122"/>
      <c r="H101" s="122"/>
      <c r="I101" s="122"/>
      <c r="J101" s="122"/>
      <c r="T101" s="214"/>
    </row>
    <row r="102" spans="1:20" ht="13.5" thickBot="1" x14ac:dyDescent="0.25">
      <c r="F102" s="122"/>
      <c r="G102" s="122"/>
      <c r="H102" s="122"/>
      <c r="I102" s="122"/>
      <c r="J102" s="122"/>
      <c r="P102" s="213"/>
      <c r="Q102" s="213"/>
      <c r="R102" s="213"/>
      <c r="S102" s="213"/>
      <c r="T102" s="212"/>
    </row>
    <row r="104" spans="1:20" x14ac:dyDescent="0.2">
      <c r="B104" s="11"/>
      <c r="J104" s="10"/>
    </row>
    <row r="106" spans="1:20" x14ac:dyDescent="0.2">
      <c r="B106" s="11"/>
    </row>
    <row r="107" spans="1:20" x14ac:dyDescent="0.2">
      <c r="M107" s="10"/>
    </row>
    <row r="109" spans="1:20" x14ac:dyDescent="0.2">
      <c r="B109" s="10"/>
    </row>
    <row r="113" spans="2:2" x14ac:dyDescent="0.2">
      <c r="B113" s="10"/>
    </row>
    <row r="115" spans="2:2" x14ac:dyDescent="0.2">
      <c r="B115" s="10"/>
    </row>
  </sheetData>
  <sheetProtection sheet="1" objects="1" scenarios="1"/>
  <mergeCells count="28">
    <mergeCell ref="A1:L1"/>
    <mergeCell ref="A2:N2"/>
    <mergeCell ref="H11:I11"/>
    <mergeCell ref="J11:K11"/>
    <mergeCell ref="L11:M11"/>
    <mergeCell ref="V12:Y12"/>
    <mergeCell ref="S13:T13"/>
    <mergeCell ref="X13:Y13"/>
    <mergeCell ref="B15:C15"/>
    <mergeCell ref="B29:C29"/>
    <mergeCell ref="D29:G29"/>
    <mergeCell ref="H29:K29"/>
    <mergeCell ref="L29:N29"/>
    <mergeCell ref="Q12:T12"/>
    <mergeCell ref="P45:Q45"/>
    <mergeCell ref="C92:F92"/>
    <mergeCell ref="H92:K92"/>
    <mergeCell ref="B43:I43"/>
    <mergeCell ref="J43:Q43"/>
    <mergeCell ref="B44:E44"/>
    <mergeCell ref="F44:I44"/>
    <mergeCell ref="J44:M44"/>
    <mergeCell ref="N44:Q44"/>
    <mergeCell ref="E93:F93"/>
    <mergeCell ref="J93:K93"/>
    <mergeCell ref="D45:E45"/>
    <mergeCell ref="H45:I45"/>
    <mergeCell ref="L45:M45"/>
  </mergeCells>
  <pageMargins left="0.19685039370078741" right="0" top="0.59055118110236227" bottom="0.39370078740157483" header="0.51181102362204722" footer="0.51181102362204722"/>
  <pageSetup paperSize="9" orientation="landscape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8580FE-F1A5-4C41-9A13-2119389B02F0}">
  <dimension ref="A1:AH122"/>
  <sheetViews>
    <sheetView showGridLines="0" zoomScaleNormal="100" workbookViewId="0">
      <selection activeCell="U9" sqref="U9"/>
    </sheetView>
  </sheetViews>
  <sheetFormatPr defaultColWidth="11.42578125" defaultRowHeight="12.75" x14ac:dyDescent="0.2"/>
  <cols>
    <col min="1" max="1" width="8.28515625" customWidth="1"/>
    <col min="2" max="2" width="11.7109375" customWidth="1"/>
    <col min="3" max="3" width="9.7109375" customWidth="1"/>
    <col min="4" max="4" width="8.28515625" customWidth="1"/>
    <col min="5" max="5" width="10.42578125" customWidth="1"/>
    <col min="6" max="8" width="9.7109375" customWidth="1"/>
    <col min="9" max="9" width="8.140625" customWidth="1"/>
    <col min="10" max="10" width="8.7109375" customWidth="1"/>
    <col min="11" max="11" width="8.42578125" customWidth="1"/>
    <col min="12" max="12" width="9.7109375" customWidth="1"/>
    <col min="13" max="13" width="6.5703125" customWidth="1"/>
    <col min="14" max="14" width="4.7109375" hidden="1" customWidth="1"/>
    <col min="15" max="15" width="9.7109375" customWidth="1"/>
    <col min="16" max="17" width="8.7109375" customWidth="1"/>
    <col min="18" max="18" width="9.7109375" customWidth="1"/>
    <col min="19" max="19" width="8.7109375" customWidth="1"/>
    <col min="20" max="20" width="8.7109375" style="9" customWidth="1"/>
    <col min="21" max="21" width="8.7109375" customWidth="1"/>
    <col min="22" max="28" width="11.42578125" customWidth="1"/>
    <col min="29" max="29" width="12.85546875" bestFit="1" customWidth="1"/>
  </cols>
  <sheetData>
    <row r="1" spans="1:34" ht="21" thickTop="1" x14ac:dyDescent="0.3">
      <c r="A1" s="18"/>
      <c r="B1" s="496" t="s">
        <v>526</v>
      </c>
      <c r="C1" s="496"/>
      <c r="D1" s="496"/>
      <c r="E1" s="496"/>
      <c r="F1" s="496"/>
      <c r="G1" s="496"/>
      <c r="H1" s="496"/>
      <c r="I1" s="496"/>
      <c r="J1" s="496"/>
      <c r="K1" s="496"/>
      <c r="L1" s="496"/>
      <c r="M1" s="496"/>
      <c r="N1" s="496"/>
      <c r="O1" s="496"/>
      <c r="P1" s="496"/>
      <c r="Q1" s="111"/>
      <c r="R1" s="23"/>
      <c r="S1" s="24"/>
      <c r="T1" s="24"/>
      <c r="U1" s="24"/>
      <c r="V1" s="24"/>
      <c r="W1" s="24"/>
      <c r="X1" s="24"/>
      <c r="Y1" s="24"/>
      <c r="Z1" s="24"/>
      <c r="AA1" s="24"/>
      <c r="AB1" s="24"/>
      <c r="AC1" s="24"/>
      <c r="AD1" s="24"/>
      <c r="AE1" s="24"/>
      <c r="AF1" s="24"/>
      <c r="AG1" s="24"/>
      <c r="AH1" s="24"/>
    </row>
    <row r="2" spans="1:34" ht="20.25" customHeight="1" thickBot="1" x14ac:dyDescent="0.35">
      <c r="A2" s="498" t="s">
        <v>525</v>
      </c>
      <c r="B2" s="507"/>
      <c r="C2" s="507"/>
      <c r="D2" s="507"/>
      <c r="E2" s="507"/>
      <c r="F2" s="507"/>
      <c r="G2" s="507"/>
      <c r="H2" s="507"/>
      <c r="I2" s="507"/>
      <c r="J2" s="507"/>
      <c r="K2" s="507"/>
      <c r="L2" s="507"/>
      <c r="M2" s="507"/>
      <c r="N2" s="507"/>
      <c r="O2" s="507"/>
      <c r="P2" s="507"/>
      <c r="Q2" s="507"/>
      <c r="R2" s="500"/>
      <c r="S2" s="10"/>
    </row>
    <row r="3" spans="1:34" ht="14.25" hidden="1" thickTop="1" thickBot="1" x14ac:dyDescent="0.25">
      <c r="A3" s="3"/>
      <c r="D3" s="120"/>
      <c r="E3" s="120"/>
      <c r="F3" s="120"/>
      <c r="G3" s="120"/>
      <c r="H3" s="120"/>
      <c r="I3" s="17"/>
      <c r="J3" s="4"/>
      <c r="K3" s="16"/>
      <c r="L3" s="25"/>
      <c r="R3" s="2"/>
    </row>
    <row r="4" spans="1:34" ht="14.25" thickTop="1" thickBot="1" x14ac:dyDescent="0.25">
      <c r="A4" s="3"/>
      <c r="B4" s="17"/>
      <c r="D4" s="120" t="s">
        <v>1</v>
      </c>
      <c r="E4" s="120"/>
      <c r="F4" s="26" t="s">
        <v>64</v>
      </c>
      <c r="G4" s="27"/>
      <c r="H4" s="28"/>
      <c r="I4" s="29" t="s">
        <v>16</v>
      </c>
      <c r="J4" s="30" t="s">
        <v>13</v>
      </c>
      <c r="K4" s="28" t="s">
        <v>63</v>
      </c>
      <c r="L4" s="28" t="s">
        <v>5</v>
      </c>
      <c r="M4" s="31" t="s">
        <v>16</v>
      </c>
      <c r="N4" s="32"/>
      <c r="O4" s="28" t="s">
        <v>63</v>
      </c>
      <c r="P4" s="28" t="s">
        <v>55</v>
      </c>
      <c r="Q4" s="31" t="s">
        <v>16</v>
      </c>
      <c r="R4" s="33" t="s">
        <v>56</v>
      </c>
    </row>
    <row r="5" spans="1:34" ht="13.5" thickBot="1" x14ac:dyDescent="0.25">
      <c r="A5" s="7"/>
      <c r="B5" s="4" t="s">
        <v>3</v>
      </c>
      <c r="C5" s="34"/>
      <c r="D5" s="113">
        <v>5000</v>
      </c>
      <c r="E5" s="4" t="s">
        <v>18</v>
      </c>
      <c r="F5" s="35" t="s">
        <v>527</v>
      </c>
      <c r="G5" s="36"/>
      <c r="H5" s="37"/>
      <c r="I5" s="38" t="s">
        <v>19</v>
      </c>
      <c r="J5" s="39" t="s">
        <v>9</v>
      </c>
      <c r="K5" s="40" t="s">
        <v>65</v>
      </c>
      <c r="L5" s="40"/>
      <c r="M5" s="41"/>
      <c r="N5" s="42"/>
      <c r="O5" s="40" t="s">
        <v>66</v>
      </c>
      <c r="P5" s="40"/>
      <c r="Q5" s="41"/>
      <c r="R5" s="43"/>
      <c r="S5" s="4"/>
      <c r="T5" s="44"/>
    </row>
    <row r="6" spans="1:34" x14ac:dyDescent="0.2">
      <c r="A6" s="119"/>
      <c r="B6" s="120"/>
      <c r="C6" s="12"/>
      <c r="D6" s="12"/>
      <c r="E6" s="45"/>
      <c r="F6" s="46" t="s">
        <v>57</v>
      </c>
      <c r="G6" s="47"/>
      <c r="H6" s="48"/>
      <c r="I6" s="353">
        <f>((VLOOKUP(($D$14),$A$30:$Q$46,9)))</f>
        <v>5019.2000000000007</v>
      </c>
      <c r="J6" s="354">
        <f>((VLOOKUP(($D$14),$A$30:$Q$46,10)))</f>
        <v>43</v>
      </c>
      <c r="K6" s="355">
        <f>((VLOOKUP(($D$14),$A$30:$Q$46,11)))</f>
        <v>116</v>
      </c>
      <c r="L6" s="355" t="str">
        <f>((VLOOKUP(($D$14),$A$30:$Q$46,12)))</f>
        <v>52-66398</v>
      </c>
      <c r="M6" s="356">
        <f>((VLOOKUP(($D$14),$A$30:$Q$46,13)))</f>
        <v>37.700000000000003</v>
      </c>
      <c r="N6" s="354"/>
      <c r="O6" s="355">
        <f>((VLOOKUP(($D$14),$A$30:$Q$46,14)))</f>
        <v>20</v>
      </c>
      <c r="P6" s="355" t="str">
        <f>((VLOOKUP(($D$14),$A$30:$Q$46,16)))</f>
        <v>52-66379</v>
      </c>
      <c r="Q6" s="356">
        <f>((VLOOKUP(($D$14),$A$30:$Q$46,17)))</f>
        <v>32.299999999999997</v>
      </c>
      <c r="R6" s="357">
        <f>((VLOOKUP(($D$14),$A$30:$R$46,18)))</f>
        <v>3.8400000000000656E-3</v>
      </c>
    </row>
    <row r="7" spans="1:34" x14ac:dyDescent="0.2">
      <c r="A7" s="119"/>
      <c r="B7" s="17" t="s">
        <v>524</v>
      </c>
      <c r="C7" s="12"/>
      <c r="D7" s="12"/>
      <c r="E7" s="45"/>
      <c r="F7" s="54"/>
      <c r="G7" s="55"/>
      <c r="H7" s="55"/>
      <c r="I7" s="55"/>
      <c r="J7" s="54"/>
      <c r="K7" s="55"/>
      <c r="L7" s="55"/>
      <c r="M7" s="56"/>
      <c r="N7" s="54"/>
      <c r="O7" s="55"/>
      <c r="P7" s="55"/>
      <c r="Q7" s="56"/>
      <c r="R7" s="56"/>
    </row>
    <row r="8" spans="1:34" ht="13.5" thickBot="1" x14ac:dyDescent="0.25">
      <c r="A8" s="119"/>
      <c r="B8" s="17" t="s">
        <v>523</v>
      </c>
      <c r="C8" s="120"/>
      <c r="D8" s="120"/>
      <c r="E8" s="45"/>
      <c r="F8" s="57" t="s">
        <v>58</v>
      </c>
      <c r="G8" s="58"/>
      <c r="H8" s="59"/>
      <c r="I8" s="358">
        <f>((VLOOKUP(($D$14),$A$30:$Q$46,4)))</f>
        <v>4936.7999999999993</v>
      </c>
      <c r="J8" s="359">
        <f>((VLOOKUP(($D$14),$A$30:$Q$46,5)))</f>
        <v>42</v>
      </c>
      <c r="K8" s="360">
        <f>IF($M$8=0,0,I8/M8)</f>
        <v>136</v>
      </c>
      <c r="L8" s="361" t="str">
        <f>((VLOOKUP(($D$14),$A$30:$Q$46,6)))</f>
        <v>52-66393</v>
      </c>
      <c r="M8" s="362">
        <f>((VLOOKUP(($D$14),$A$30:$Q$46,7)))</f>
        <v>36.299999999999997</v>
      </c>
      <c r="N8" s="544"/>
      <c r="O8" s="545"/>
      <c r="P8" s="545"/>
      <c r="Q8" s="546"/>
      <c r="R8" s="363">
        <f>((VLOOKUP(($D$14),$A$30:$Q$46,8)))</f>
        <v>-1.2640000000000096E-2</v>
      </c>
    </row>
    <row r="9" spans="1:34" ht="13.5" thickTop="1" x14ac:dyDescent="0.2">
      <c r="A9" s="119"/>
      <c r="B9" s="45" t="s">
        <v>522</v>
      </c>
      <c r="C9" s="120"/>
      <c r="D9" s="45"/>
      <c r="E9" s="45"/>
      <c r="F9" s="4"/>
      <c r="G9" s="12"/>
      <c r="I9" s="120"/>
      <c r="P9" s="4"/>
      <c r="R9" s="2"/>
    </row>
    <row r="10" spans="1:34" hidden="1" x14ac:dyDescent="0.2">
      <c r="A10" s="119"/>
      <c r="B10" s="17"/>
      <c r="C10" s="120"/>
      <c r="D10" s="45"/>
      <c r="E10" s="45"/>
      <c r="F10" s="4"/>
      <c r="G10" s="45"/>
      <c r="I10" s="45"/>
      <c r="K10" s="249"/>
      <c r="L10" s="249"/>
      <c r="N10" s="4"/>
      <c r="O10" s="44"/>
      <c r="R10" s="2"/>
      <c r="X10" s="10"/>
    </row>
    <row r="11" spans="1:34" x14ac:dyDescent="0.2">
      <c r="A11" s="119"/>
      <c r="B11" s="45"/>
      <c r="C11" s="120"/>
      <c r="D11" s="45"/>
      <c r="E11" s="45"/>
      <c r="F11" s="4"/>
      <c r="G11" s="12"/>
      <c r="I11" s="45"/>
      <c r="N11" s="4"/>
      <c r="O11" s="44"/>
      <c r="R11" s="2"/>
      <c r="X11" s="10"/>
    </row>
    <row r="12" spans="1:34" x14ac:dyDescent="0.2">
      <c r="A12" s="119"/>
      <c r="B12" s="17"/>
      <c r="C12" s="120"/>
      <c r="D12" s="45"/>
      <c r="E12" s="45"/>
      <c r="F12" s="4"/>
      <c r="G12" s="12"/>
      <c r="I12" s="45"/>
      <c r="N12" s="4"/>
      <c r="O12" s="44"/>
      <c r="R12" s="2"/>
      <c r="X12" s="10"/>
    </row>
    <row r="13" spans="1:34" ht="13.5" thickBot="1" x14ac:dyDescent="0.25">
      <c r="A13" s="119"/>
      <c r="B13" s="45" t="s">
        <v>61</v>
      </c>
      <c r="C13" s="12"/>
      <c r="D13" s="12"/>
      <c r="E13" s="45"/>
      <c r="F13" s="4"/>
      <c r="G13" s="12"/>
      <c r="I13" s="45"/>
      <c r="N13" s="4"/>
      <c r="O13" s="44"/>
      <c r="R13" s="2"/>
      <c r="X13" s="10"/>
    </row>
    <row r="14" spans="1:34" ht="13.5" thickBot="1" x14ac:dyDescent="0.25">
      <c r="A14" s="119"/>
      <c r="B14" s="120" t="s">
        <v>59</v>
      </c>
      <c r="C14" s="120"/>
      <c r="D14" s="112">
        <v>1000</v>
      </c>
      <c r="E14" s="45"/>
      <c r="F14" s="4"/>
      <c r="G14" s="12"/>
      <c r="I14" s="45"/>
      <c r="N14" s="4"/>
      <c r="O14" s="44"/>
      <c r="R14" s="2"/>
      <c r="X14" s="10"/>
    </row>
    <row r="15" spans="1:34" ht="13.5" thickBot="1" x14ac:dyDescent="0.25">
      <c r="A15" s="119"/>
      <c r="B15" s="17"/>
      <c r="C15" s="120"/>
      <c r="D15" s="45"/>
      <c r="E15" s="45"/>
      <c r="F15" s="4"/>
      <c r="G15" s="12"/>
      <c r="I15" s="45"/>
      <c r="N15" s="4"/>
      <c r="O15" s="44"/>
      <c r="R15" s="2"/>
      <c r="X15" s="10"/>
    </row>
    <row r="16" spans="1:34" ht="14.25" thickTop="1" thickBot="1" x14ac:dyDescent="0.25">
      <c r="A16" s="119"/>
      <c r="B16" s="17" t="s">
        <v>62</v>
      </c>
      <c r="C16" s="120"/>
      <c r="D16" s="364" t="str">
        <f>VLOOKUP($D$14,$K$66:$L$82,2)</f>
        <v xml:space="preserve">       49-9223-01</v>
      </c>
      <c r="E16" s="365"/>
      <c r="F16" s="4"/>
      <c r="G16" s="12"/>
      <c r="I16" s="45"/>
      <c r="N16" s="4"/>
      <c r="O16" s="44"/>
      <c r="R16" s="2"/>
      <c r="X16" s="10"/>
    </row>
    <row r="17" spans="1:24" ht="13.5" thickTop="1" x14ac:dyDescent="0.2">
      <c r="A17" s="119"/>
      <c r="B17" s="45"/>
      <c r="C17" s="120"/>
      <c r="D17" s="45"/>
      <c r="E17" s="45"/>
      <c r="F17" s="4"/>
      <c r="G17" s="12"/>
      <c r="I17" s="45"/>
      <c r="N17" s="4"/>
      <c r="O17" s="44"/>
      <c r="R17" s="2"/>
      <c r="X17" s="10"/>
    </row>
    <row r="18" spans="1:24" x14ac:dyDescent="0.2">
      <c r="A18" s="119"/>
      <c r="B18" s="45"/>
      <c r="C18" s="120"/>
      <c r="D18" s="45"/>
      <c r="E18" s="45"/>
      <c r="F18" s="4"/>
      <c r="G18" s="12"/>
      <c r="I18" s="45"/>
      <c r="N18" s="4"/>
      <c r="O18" s="44"/>
      <c r="R18" s="2"/>
      <c r="X18" s="10"/>
    </row>
    <row r="19" spans="1:24" x14ac:dyDescent="0.2">
      <c r="A19" s="119"/>
      <c r="B19" s="45"/>
      <c r="C19" s="120"/>
      <c r="D19" s="45"/>
      <c r="E19" s="45"/>
      <c r="F19" s="4"/>
      <c r="G19" s="12"/>
      <c r="I19" s="45"/>
      <c r="N19" s="4"/>
      <c r="O19" s="44"/>
      <c r="R19" s="2"/>
      <c r="X19" s="10"/>
    </row>
    <row r="20" spans="1:24" x14ac:dyDescent="0.2">
      <c r="A20" s="119"/>
      <c r="B20" s="17"/>
      <c r="C20" s="17"/>
      <c r="D20" s="17"/>
      <c r="E20" s="17"/>
      <c r="F20" s="17"/>
      <c r="G20" s="12"/>
      <c r="I20" s="45"/>
      <c r="N20" s="4"/>
      <c r="O20" s="44"/>
      <c r="R20" s="2"/>
      <c r="X20" s="10"/>
    </row>
    <row r="21" spans="1:24" x14ac:dyDescent="0.2">
      <c r="A21" s="119"/>
      <c r="B21" s="17"/>
      <c r="C21" s="17"/>
      <c r="D21" s="17"/>
      <c r="E21" s="17"/>
      <c r="F21" s="17"/>
      <c r="G21" s="12"/>
      <c r="I21" s="45"/>
      <c r="N21" s="4"/>
      <c r="O21" s="44"/>
      <c r="R21" s="2"/>
      <c r="X21" s="10"/>
    </row>
    <row r="22" spans="1:24" x14ac:dyDescent="0.2">
      <c r="A22" s="119"/>
      <c r="B22" s="17"/>
      <c r="C22" s="17"/>
      <c r="D22" s="17"/>
      <c r="E22" s="17"/>
      <c r="F22" s="17"/>
      <c r="G22" s="12"/>
      <c r="I22" s="45"/>
      <c r="N22" s="4"/>
      <c r="O22" s="44"/>
      <c r="R22" s="2"/>
      <c r="X22" s="10"/>
    </row>
    <row r="23" spans="1:24" x14ac:dyDescent="0.2">
      <c r="A23" s="119"/>
      <c r="B23" s="17"/>
      <c r="C23" s="17"/>
      <c r="D23" s="17"/>
      <c r="E23" s="17"/>
      <c r="F23" s="17"/>
      <c r="G23" s="12"/>
      <c r="I23" s="45"/>
      <c r="N23" s="4"/>
      <c r="O23" s="44"/>
      <c r="R23" s="2"/>
      <c r="X23" s="10"/>
    </row>
    <row r="24" spans="1:24" x14ac:dyDescent="0.2">
      <c r="A24" s="119"/>
      <c r="B24" s="120"/>
      <c r="C24" s="120"/>
      <c r="D24" s="45"/>
      <c r="E24" s="45"/>
      <c r="F24" s="4"/>
      <c r="G24" s="12"/>
      <c r="I24" s="45"/>
      <c r="R24" s="2"/>
      <c r="X24" s="11"/>
    </row>
    <row r="25" spans="1:24" hidden="1" x14ac:dyDescent="0.2">
      <c r="A25" s="7"/>
      <c r="B25" s="4"/>
      <c r="C25" s="249"/>
      <c r="D25" s="68" t="s">
        <v>20</v>
      </c>
      <c r="E25" s="68"/>
      <c r="F25" s="68"/>
      <c r="G25" s="68"/>
      <c r="H25" s="68"/>
      <c r="I25" s="68" t="s">
        <v>21</v>
      </c>
      <c r="J25" s="68"/>
      <c r="K25" s="68"/>
      <c r="L25" s="68"/>
      <c r="M25" s="68"/>
      <c r="N25" s="68"/>
      <c r="O25" s="69"/>
      <c r="P25" s="69"/>
      <c r="Q25" s="69"/>
      <c r="R25" s="70"/>
      <c r="S25" s="4"/>
      <c r="X25" s="71"/>
    </row>
    <row r="26" spans="1:24" hidden="1" x14ac:dyDescent="0.2">
      <c r="A26" s="119" t="s">
        <v>15</v>
      </c>
      <c r="B26" s="120" t="s">
        <v>22</v>
      </c>
      <c r="C26" s="120" t="s">
        <v>23</v>
      </c>
      <c r="D26" s="68" t="s">
        <v>24</v>
      </c>
      <c r="E26" s="68" t="s">
        <v>25</v>
      </c>
      <c r="F26" s="72" t="s">
        <v>12</v>
      </c>
      <c r="G26" s="72" t="s">
        <v>26</v>
      </c>
      <c r="H26" s="72" t="s">
        <v>27</v>
      </c>
      <c r="I26" s="68" t="s">
        <v>26</v>
      </c>
      <c r="J26" s="68" t="s">
        <v>13</v>
      </c>
      <c r="K26" s="72" t="s">
        <v>23</v>
      </c>
      <c r="L26" s="72" t="s">
        <v>12</v>
      </c>
      <c r="M26" s="72" t="s">
        <v>14</v>
      </c>
      <c r="N26" s="73" t="s">
        <v>28</v>
      </c>
      <c r="O26" s="72" t="s">
        <v>29</v>
      </c>
      <c r="P26" s="72" t="s">
        <v>12</v>
      </c>
      <c r="Q26" s="72" t="s">
        <v>14</v>
      </c>
      <c r="R26" s="74" t="s">
        <v>27</v>
      </c>
      <c r="X26" s="11"/>
    </row>
    <row r="27" spans="1:24" hidden="1" x14ac:dyDescent="0.2">
      <c r="A27" s="119" t="s">
        <v>2</v>
      </c>
      <c r="B27" s="120" t="s">
        <v>19</v>
      </c>
      <c r="C27" s="120" t="s">
        <v>30</v>
      </c>
      <c r="D27" s="68" t="s">
        <v>19</v>
      </c>
      <c r="E27" s="68" t="s">
        <v>9</v>
      </c>
      <c r="F27" s="72"/>
      <c r="G27" s="72" t="s">
        <v>19</v>
      </c>
      <c r="H27" s="72" t="s">
        <v>31</v>
      </c>
      <c r="I27" s="68" t="s">
        <v>19</v>
      </c>
      <c r="J27" s="68" t="s">
        <v>9</v>
      </c>
      <c r="K27" s="72" t="s">
        <v>30</v>
      </c>
      <c r="L27" s="72"/>
      <c r="M27" s="72" t="s">
        <v>11</v>
      </c>
      <c r="N27" s="73" t="s">
        <v>32</v>
      </c>
      <c r="O27" s="72" t="s">
        <v>24</v>
      </c>
      <c r="P27" s="72"/>
      <c r="Q27" s="72" t="s">
        <v>11</v>
      </c>
      <c r="R27" s="74" t="s">
        <v>31</v>
      </c>
      <c r="U27" s="75"/>
    </row>
    <row r="28" spans="1:24" hidden="1" x14ac:dyDescent="0.2">
      <c r="A28" s="119" t="s">
        <v>10</v>
      </c>
      <c r="B28" s="122"/>
      <c r="C28" s="120"/>
      <c r="D28" s="76" t="s">
        <v>33</v>
      </c>
      <c r="E28" s="68"/>
      <c r="F28" s="72" t="s">
        <v>17</v>
      </c>
      <c r="G28" s="72" t="s">
        <v>17</v>
      </c>
      <c r="H28" s="72"/>
      <c r="I28" s="76" t="s">
        <v>34</v>
      </c>
      <c r="J28" s="68"/>
      <c r="K28" s="72"/>
      <c r="L28" s="72" t="s">
        <v>17</v>
      </c>
      <c r="M28" s="72" t="s">
        <v>35</v>
      </c>
      <c r="N28" s="73"/>
      <c r="O28" s="72" t="s">
        <v>19</v>
      </c>
      <c r="P28" s="72" t="s">
        <v>17</v>
      </c>
      <c r="Q28" s="72" t="s">
        <v>35</v>
      </c>
      <c r="R28" s="74"/>
      <c r="U28" s="75"/>
      <c r="X28" s="11"/>
    </row>
    <row r="29" spans="1:24" hidden="1" x14ac:dyDescent="0.2">
      <c r="A29" s="77"/>
      <c r="B29" s="122"/>
      <c r="C29" s="122"/>
      <c r="D29" s="120"/>
      <c r="E29" s="120"/>
      <c r="F29" s="120"/>
      <c r="G29" s="120"/>
      <c r="H29" s="120"/>
      <c r="I29" s="120"/>
      <c r="J29" s="120"/>
      <c r="K29" s="120"/>
      <c r="L29" s="120"/>
      <c r="M29" s="120"/>
      <c r="N29" s="78"/>
      <c r="O29" s="120"/>
      <c r="Q29" s="120"/>
      <c r="R29" s="2"/>
      <c r="U29" s="75"/>
    </row>
    <row r="30" spans="1:24" hidden="1" x14ac:dyDescent="0.2">
      <c r="A30" s="79">
        <v>50</v>
      </c>
      <c r="B30" s="80" t="s">
        <v>528</v>
      </c>
      <c r="C30" s="81">
        <v>1</v>
      </c>
      <c r="D30" s="82">
        <f t="shared" ref="D30:D46" si="0">IF($D$5/$C30&lt;3.8,D29,VLOOKUP(($D$5/$C30),$D$55:$F$99,1)*$C30)</f>
        <v>45</v>
      </c>
      <c r="E30" s="83">
        <f t="shared" ref="E30:E46" si="1">IF($D$5/$C30&lt;3.8,E29,VLOOKUP(($D$5/$C30),$D$55:$F$99,2))</f>
        <v>49</v>
      </c>
      <c r="F30" s="84" t="str">
        <f t="shared" ref="F30:F46" si="2">IF($D$5/$C30&lt;3.8,F29,VLOOKUP(($D$5/$C30),$D$55:$F$99,3))</f>
        <v>52-66407H</v>
      </c>
      <c r="G30" s="85">
        <f t="shared" ref="G30:G46" si="3">IF($D$5/$C30&lt;3.8,G29,VLOOKUP(($D$5/$C30),$D$55:$F$99,1))</f>
        <v>45</v>
      </c>
      <c r="H30" s="86">
        <f t="shared" ref="H30:H46" si="4">D30/$D$5-1</f>
        <v>-0.99099999999999999</v>
      </c>
      <c r="I30" s="87">
        <f t="shared" ref="I30:I46" si="5">$K30*M30+$N30*Q30</f>
        <v>45</v>
      </c>
      <c r="J30" s="88">
        <f>VLOOKUP(($D$5/$C30),$D$55:$I$99,5)</f>
        <v>49</v>
      </c>
      <c r="K30" s="89">
        <f>C30</f>
        <v>1</v>
      </c>
      <c r="L30" s="89" t="str">
        <f>VLOOKUP(($D$5/$C30),$D$55:$I$99,6)</f>
        <v>52-66407H</v>
      </c>
      <c r="M30" s="90">
        <f>VLOOKUP(($D$5/$C30),$D$55:$I$99,4)</f>
        <v>45</v>
      </c>
      <c r="N30" s="73">
        <v>0</v>
      </c>
      <c r="O30" s="91">
        <f>($D$5-(K30*M30))</f>
        <v>4955</v>
      </c>
      <c r="P30" s="72">
        <v>0</v>
      </c>
      <c r="Q30" s="92">
        <v>0</v>
      </c>
      <c r="R30" s="93">
        <f t="shared" ref="R30:R46" si="6">I30/$D$5-1</f>
        <v>-0.99099999999999999</v>
      </c>
      <c r="T30" s="75"/>
      <c r="U30" s="75"/>
    </row>
    <row r="31" spans="1:24" hidden="1" x14ac:dyDescent="0.2">
      <c r="A31" s="119">
        <v>65</v>
      </c>
      <c r="B31" s="94" t="s">
        <v>528</v>
      </c>
      <c r="C31" s="120">
        <v>1</v>
      </c>
      <c r="D31" s="82">
        <f t="shared" si="0"/>
        <v>45</v>
      </c>
      <c r="E31" s="83">
        <f t="shared" si="1"/>
        <v>49</v>
      </c>
      <c r="F31" s="84" t="str">
        <f t="shared" si="2"/>
        <v>52-66407H</v>
      </c>
      <c r="G31" s="85">
        <f t="shared" si="3"/>
        <v>45</v>
      </c>
      <c r="H31" s="86">
        <f t="shared" si="4"/>
        <v>-0.99099999999999999</v>
      </c>
      <c r="I31" s="87">
        <f t="shared" si="5"/>
        <v>45</v>
      </c>
      <c r="J31" s="88">
        <f>VLOOKUP(($D$5/$C31),$D$55:$I$99,5)</f>
        <v>49</v>
      </c>
      <c r="K31" s="89">
        <f>C31</f>
        <v>1</v>
      </c>
      <c r="L31" s="89" t="str">
        <f>VLOOKUP(($D$5/$C31),$D$55:$I$99,6)</f>
        <v>52-66407H</v>
      </c>
      <c r="M31" s="90">
        <f>VLOOKUP(($D$5/$C31),$D$55:$I$99,4)</f>
        <v>45</v>
      </c>
      <c r="N31" s="73">
        <v>0</v>
      </c>
      <c r="O31" s="91">
        <f>($D$5-(K31*M31))</f>
        <v>4955</v>
      </c>
      <c r="P31" s="72">
        <v>0</v>
      </c>
      <c r="Q31" s="92">
        <v>0</v>
      </c>
      <c r="R31" s="93">
        <f t="shared" si="6"/>
        <v>-0.99099999999999999</v>
      </c>
      <c r="S31" s="10"/>
      <c r="U31" s="75"/>
    </row>
    <row r="32" spans="1:24" hidden="1" x14ac:dyDescent="0.2">
      <c r="A32" s="79">
        <v>80</v>
      </c>
      <c r="B32" s="80" t="s">
        <v>528</v>
      </c>
      <c r="C32" s="81">
        <v>1</v>
      </c>
      <c r="D32" s="82">
        <f t="shared" si="0"/>
        <v>45</v>
      </c>
      <c r="E32" s="83">
        <f t="shared" si="1"/>
        <v>49</v>
      </c>
      <c r="F32" s="84" t="str">
        <f t="shared" si="2"/>
        <v>52-66407H</v>
      </c>
      <c r="G32" s="85">
        <f t="shared" si="3"/>
        <v>45</v>
      </c>
      <c r="H32" s="86">
        <f t="shared" si="4"/>
        <v>-0.99099999999999999</v>
      </c>
      <c r="I32" s="87">
        <f t="shared" si="5"/>
        <v>45</v>
      </c>
      <c r="J32" s="88">
        <f>VLOOKUP(($D$5/$C32),$D$55:$I$99,5)</f>
        <v>49</v>
      </c>
      <c r="K32" s="89">
        <f>C32</f>
        <v>1</v>
      </c>
      <c r="L32" s="89" t="str">
        <f>VLOOKUP(($D$5/$C32),$D$55:$I$99,6)</f>
        <v>52-66407H</v>
      </c>
      <c r="M32" s="90">
        <f>VLOOKUP(($D$5/$C32),$D$55:$I$99,4)</f>
        <v>45</v>
      </c>
      <c r="N32" s="73">
        <v>0</v>
      </c>
      <c r="O32" s="91">
        <f>($D$5-(K32*M32))</f>
        <v>4955</v>
      </c>
      <c r="P32" s="72">
        <v>0</v>
      </c>
      <c r="Q32" s="92">
        <v>0</v>
      </c>
      <c r="R32" s="93">
        <f t="shared" si="6"/>
        <v>-0.99099999999999999</v>
      </c>
      <c r="S32" s="10"/>
    </row>
    <row r="33" spans="1:23" hidden="1" x14ac:dyDescent="0.2">
      <c r="A33" s="119">
        <v>100</v>
      </c>
      <c r="B33" s="94" t="s">
        <v>529</v>
      </c>
      <c r="C33" s="120">
        <v>2</v>
      </c>
      <c r="D33" s="82">
        <f t="shared" si="0"/>
        <v>90</v>
      </c>
      <c r="E33" s="83">
        <f t="shared" si="1"/>
        <v>49</v>
      </c>
      <c r="F33" s="84" t="str">
        <f t="shared" si="2"/>
        <v>52-66407H</v>
      </c>
      <c r="G33" s="85">
        <f t="shared" si="3"/>
        <v>45</v>
      </c>
      <c r="H33" s="86">
        <f t="shared" si="4"/>
        <v>-0.98199999999999998</v>
      </c>
      <c r="I33" s="87">
        <f t="shared" si="5"/>
        <v>90</v>
      </c>
      <c r="J33" s="95">
        <f t="shared" ref="J33:J46" si="7">IF($D$5/$C33&lt;3.8,J32,VLOOKUP(($D$5/$C33),$D$55:$I$99,5))</f>
        <v>49</v>
      </c>
      <c r="K33" s="73">
        <f>IF($D$5/$C33&lt;3.8,K32,C33-1)</f>
        <v>1</v>
      </c>
      <c r="L33" s="90" t="str">
        <f t="shared" ref="L33:L46" si="8">IF($D$5/$C33&lt;3.8,L32,VLOOKUP(($D$5/$C33),$D$55:$I$99,6))</f>
        <v>52-66407H</v>
      </c>
      <c r="M33" s="90">
        <f t="shared" ref="M33:M46" si="9">IF($D$5/$C33&lt;3.8,M32,VLOOKUP(($D$5/$C33),$D$55:$I$99,4))</f>
        <v>45</v>
      </c>
      <c r="N33" s="73">
        <f t="shared" ref="N33:N46" si="10">IF($D$5/$C33&lt;3.8,N32,C33-K33)</f>
        <v>1</v>
      </c>
      <c r="O33" s="91">
        <f t="shared" ref="O33:O46" si="11">IF($N$33=0,O32,($D$5-(K33*M33))/N33)</f>
        <v>4955</v>
      </c>
      <c r="P33" s="72" t="str">
        <f t="shared" ref="P33:P46" si="12">IF($O33&lt;0,P32,((VLOOKUP(($O33),$D$55:$I$99,6))))</f>
        <v>52-66407H</v>
      </c>
      <c r="Q33" s="92">
        <f t="shared" ref="Q33:Q46" si="13">IF($O33&lt;0,Q32,((VLOOKUP(($O33),$D$55:$I$99,4))))</f>
        <v>45</v>
      </c>
      <c r="R33" s="93">
        <f t="shared" si="6"/>
        <v>-0.98199999999999998</v>
      </c>
      <c r="S33" s="11"/>
    </row>
    <row r="34" spans="1:23" hidden="1" x14ac:dyDescent="0.2">
      <c r="A34" s="79">
        <v>125</v>
      </c>
      <c r="B34" s="80" t="s">
        <v>530</v>
      </c>
      <c r="C34" s="81">
        <v>3</v>
      </c>
      <c r="D34" s="82">
        <f t="shared" si="0"/>
        <v>135</v>
      </c>
      <c r="E34" s="83">
        <f t="shared" si="1"/>
        <v>49</v>
      </c>
      <c r="F34" s="84" t="str">
        <f t="shared" si="2"/>
        <v>52-66407H</v>
      </c>
      <c r="G34" s="85">
        <f t="shared" si="3"/>
        <v>45</v>
      </c>
      <c r="H34" s="86">
        <f t="shared" si="4"/>
        <v>-0.97299999999999998</v>
      </c>
      <c r="I34" s="87">
        <f t="shared" si="5"/>
        <v>135</v>
      </c>
      <c r="J34" s="95">
        <f t="shared" si="7"/>
        <v>49</v>
      </c>
      <c r="K34" s="73">
        <f>IF($D$5/$C34&lt;3.8,K33,C34-1)</f>
        <v>2</v>
      </c>
      <c r="L34" s="90" t="str">
        <f t="shared" si="8"/>
        <v>52-66407H</v>
      </c>
      <c r="M34" s="90">
        <f t="shared" si="9"/>
        <v>45</v>
      </c>
      <c r="N34" s="73">
        <f t="shared" si="10"/>
        <v>1</v>
      </c>
      <c r="O34" s="91">
        <f t="shared" si="11"/>
        <v>4910</v>
      </c>
      <c r="P34" s="72" t="str">
        <f t="shared" si="12"/>
        <v>52-66407H</v>
      </c>
      <c r="Q34" s="92">
        <f t="shared" si="13"/>
        <v>45</v>
      </c>
      <c r="R34" s="93">
        <f t="shared" si="6"/>
        <v>-0.97299999999999998</v>
      </c>
      <c r="S34" s="71"/>
    </row>
    <row r="35" spans="1:23" hidden="1" x14ac:dyDescent="0.2">
      <c r="A35" s="119">
        <v>150</v>
      </c>
      <c r="B35" s="94" t="s">
        <v>531</v>
      </c>
      <c r="C35" s="120">
        <v>4</v>
      </c>
      <c r="D35" s="82">
        <f t="shared" si="0"/>
        <v>180</v>
      </c>
      <c r="E35" s="83">
        <f t="shared" si="1"/>
        <v>49</v>
      </c>
      <c r="F35" s="84" t="str">
        <f t="shared" si="2"/>
        <v>52-66407H</v>
      </c>
      <c r="G35" s="85">
        <f t="shared" si="3"/>
        <v>45</v>
      </c>
      <c r="H35" s="86">
        <f t="shared" si="4"/>
        <v>-0.96399999999999997</v>
      </c>
      <c r="I35" s="87">
        <f t="shared" si="5"/>
        <v>180</v>
      </c>
      <c r="J35" s="95">
        <f t="shared" si="7"/>
        <v>49</v>
      </c>
      <c r="K35" s="73">
        <f>IF($D$5/$C35&lt;3.8,K34,C35-1)</f>
        <v>3</v>
      </c>
      <c r="L35" s="90" t="str">
        <f t="shared" si="8"/>
        <v>52-66407H</v>
      </c>
      <c r="M35" s="90">
        <f t="shared" si="9"/>
        <v>45</v>
      </c>
      <c r="N35" s="73">
        <f t="shared" si="10"/>
        <v>1</v>
      </c>
      <c r="O35" s="91">
        <f t="shared" si="11"/>
        <v>4865</v>
      </c>
      <c r="P35" s="72" t="str">
        <f t="shared" si="12"/>
        <v>52-66407H</v>
      </c>
      <c r="Q35" s="92">
        <f t="shared" si="13"/>
        <v>45</v>
      </c>
      <c r="R35" s="93">
        <f t="shared" si="6"/>
        <v>-0.96399999999999997</v>
      </c>
      <c r="S35" s="11"/>
    </row>
    <row r="36" spans="1:23" hidden="1" x14ac:dyDescent="0.2">
      <c r="A36" s="79">
        <v>200</v>
      </c>
      <c r="B36" s="80" t="s">
        <v>532</v>
      </c>
      <c r="C36" s="81">
        <v>7</v>
      </c>
      <c r="D36" s="82">
        <f t="shared" si="0"/>
        <v>315</v>
      </c>
      <c r="E36" s="83">
        <f t="shared" si="1"/>
        <v>49</v>
      </c>
      <c r="F36" s="84" t="str">
        <f t="shared" si="2"/>
        <v>52-66407H</v>
      </c>
      <c r="G36" s="85">
        <f t="shared" si="3"/>
        <v>45</v>
      </c>
      <c r="H36" s="86">
        <f t="shared" si="4"/>
        <v>-0.93700000000000006</v>
      </c>
      <c r="I36" s="87">
        <f t="shared" si="5"/>
        <v>315</v>
      </c>
      <c r="J36" s="95">
        <f t="shared" si="7"/>
        <v>49</v>
      </c>
      <c r="K36" s="73">
        <f>IF($D$5/$C36&lt;3.8,K35,C36-1)</f>
        <v>6</v>
      </c>
      <c r="L36" s="90" t="str">
        <f t="shared" si="8"/>
        <v>52-66407H</v>
      </c>
      <c r="M36" s="90">
        <f t="shared" si="9"/>
        <v>45</v>
      </c>
      <c r="N36" s="73">
        <f t="shared" si="10"/>
        <v>1</v>
      </c>
      <c r="O36" s="91">
        <f t="shared" si="11"/>
        <v>4730</v>
      </c>
      <c r="P36" s="72" t="str">
        <f t="shared" si="12"/>
        <v>52-66407H</v>
      </c>
      <c r="Q36" s="92">
        <f t="shared" si="13"/>
        <v>45</v>
      </c>
      <c r="R36" s="93">
        <f t="shared" si="6"/>
        <v>-0.93700000000000006</v>
      </c>
    </row>
    <row r="37" spans="1:23" hidden="1" x14ac:dyDescent="0.2">
      <c r="A37" s="119">
        <v>250</v>
      </c>
      <c r="B37" s="94" t="s">
        <v>533</v>
      </c>
      <c r="C37" s="120">
        <v>12</v>
      </c>
      <c r="D37" s="82">
        <f t="shared" si="0"/>
        <v>540</v>
      </c>
      <c r="E37" s="83">
        <f t="shared" si="1"/>
        <v>49</v>
      </c>
      <c r="F37" s="84" t="str">
        <f t="shared" si="2"/>
        <v>52-66407H</v>
      </c>
      <c r="G37" s="85">
        <f t="shared" si="3"/>
        <v>45</v>
      </c>
      <c r="H37" s="86">
        <f t="shared" si="4"/>
        <v>-0.89200000000000002</v>
      </c>
      <c r="I37" s="87">
        <f t="shared" si="5"/>
        <v>540</v>
      </c>
      <c r="J37" s="95">
        <f t="shared" si="7"/>
        <v>49</v>
      </c>
      <c r="K37" s="73">
        <f>IF($D$5/$C37&lt;3.8,K36,C37-2)</f>
        <v>10</v>
      </c>
      <c r="L37" s="90" t="str">
        <f t="shared" si="8"/>
        <v>52-66407H</v>
      </c>
      <c r="M37" s="90">
        <f t="shared" si="9"/>
        <v>45</v>
      </c>
      <c r="N37" s="73">
        <f t="shared" si="10"/>
        <v>2</v>
      </c>
      <c r="O37" s="91">
        <f t="shared" si="11"/>
        <v>2275</v>
      </c>
      <c r="P37" s="72" t="str">
        <f t="shared" si="12"/>
        <v>52-66407H</v>
      </c>
      <c r="Q37" s="92">
        <f t="shared" si="13"/>
        <v>45</v>
      </c>
      <c r="R37" s="93">
        <f t="shared" si="6"/>
        <v>-0.89200000000000002</v>
      </c>
      <c r="S37" s="11"/>
    </row>
    <row r="38" spans="1:23" hidden="1" x14ac:dyDescent="0.2">
      <c r="A38" s="79">
        <v>300</v>
      </c>
      <c r="B38" s="80" t="s">
        <v>534</v>
      </c>
      <c r="C38" s="81">
        <v>15</v>
      </c>
      <c r="D38" s="82">
        <f t="shared" si="0"/>
        <v>675</v>
      </c>
      <c r="E38" s="83">
        <f t="shared" si="1"/>
        <v>49</v>
      </c>
      <c r="F38" s="84" t="str">
        <f t="shared" si="2"/>
        <v>52-66407H</v>
      </c>
      <c r="G38" s="85">
        <f t="shared" si="3"/>
        <v>45</v>
      </c>
      <c r="H38" s="86">
        <f t="shared" si="4"/>
        <v>-0.86499999999999999</v>
      </c>
      <c r="I38" s="87">
        <f t="shared" si="5"/>
        <v>675</v>
      </c>
      <c r="J38" s="95">
        <f t="shared" si="7"/>
        <v>49</v>
      </c>
      <c r="K38" s="73">
        <f>IF($D$5/$C38&lt;3.8,K37,C38-2)</f>
        <v>13</v>
      </c>
      <c r="L38" s="90" t="str">
        <f t="shared" si="8"/>
        <v>52-66407H</v>
      </c>
      <c r="M38" s="90">
        <f t="shared" si="9"/>
        <v>45</v>
      </c>
      <c r="N38" s="73">
        <f t="shared" si="10"/>
        <v>2</v>
      </c>
      <c r="O38" s="91">
        <f t="shared" si="11"/>
        <v>2207.5</v>
      </c>
      <c r="P38" s="72" t="str">
        <f t="shared" si="12"/>
        <v>52-66407H</v>
      </c>
      <c r="Q38" s="92">
        <f t="shared" si="13"/>
        <v>45</v>
      </c>
      <c r="R38" s="93">
        <f t="shared" si="6"/>
        <v>-0.86499999999999999</v>
      </c>
      <c r="S38" s="71"/>
    </row>
    <row r="39" spans="1:23" hidden="1" x14ac:dyDescent="0.2">
      <c r="A39" s="119">
        <v>350</v>
      </c>
      <c r="B39" s="94" t="s">
        <v>535</v>
      </c>
      <c r="C39" s="120">
        <v>19</v>
      </c>
      <c r="D39" s="82">
        <f t="shared" si="0"/>
        <v>855</v>
      </c>
      <c r="E39" s="83">
        <f t="shared" si="1"/>
        <v>49</v>
      </c>
      <c r="F39" s="84" t="str">
        <f t="shared" si="2"/>
        <v>52-66407H</v>
      </c>
      <c r="G39" s="85">
        <f t="shared" si="3"/>
        <v>45</v>
      </c>
      <c r="H39" s="86">
        <f t="shared" si="4"/>
        <v>-0.82899999999999996</v>
      </c>
      <c r="I39" s="87">
        <f t="shared" si="5"/>
        <v>855</v>
      </c>
      <c r="J39" s="95">
        <f t="shared" si="7"/>
        <v>49</v>
      </c>
      <c r="K39" s="73">
        <f>IF($D$5/$C39&lt;3.8,K38,C39-3)</f>
        <v>16</v>
      </c>
      <c r="L39" s="90" t="str">
        <f t="shared" si="8"/>
        <v>52-66407H</v>
      </c>
      <c r="M39" s="90">
        <f t="shared" si="9"/>
        <v>45</v>
      </c>
      <c r="N39" s="73">
        <f t="shared" si="10"/>
        <v>3</v>
      </c>
      <c r="O39" s="91">
        <f t="shared" si="11"/>
        <v>1426.6666666666667</v>
      </c>
      <c r="P39" s="72" t="str">
        <f t="shared" si="12"/>
        <v>52-66407H</v>
      </c>
      <c r="Q39" s="92">
        <f t="shared" si="13"/>
        <v>45</v>
      </c>
      <c r="R39" s="93">
        <f t="shared" si="6"/>
        <v>-0.82899999999999996</v>
      </c>
      <c r="S39" s="71"/>
      <c r="T39" s="12"/>
      <c r="U39" s="12"/>
      <c r="V39" s="4"/>
      <c r="W39" s="15"/>
    </row>
    <row r="40" spans="1:23" hidden="1" x14ac:dyDescent="0.2">
      <c r="A40" s="79">
        <v>400</v>
      </c>
      <c r="B40" s="80" t="s">
        <v>536</v>
      </c>
      <c r="C40" s="81">
        <v>26</v>
      </c>
      <c r="D40" s="82">
        <f t="shared" si="0"/>
        <v>1170</v>
      </c>
      <c r="E40" s="83">
        <f t="shared" si="1"/>
        <v>49</v>
      </c>
      <c r="F40" s="84" t="str">
        <f t="shared" si="2"/>
        <v>52-66407H</v>
      </c>
      <c r="G40" s="85">
        <f t="shared" si="3"/>
        <v>45</v>
      </c>
      <c r="H40" s="86">
        <f t="shared" si="4"/>
        <v>-0.76600000000000001</v>
      </c>
      <c r="I40" s="87">
        <f t="shared" si="5"/>
        <v>1170</v>
      </c>
      <c r="J40" s="95">
        <f t="shared" si="7"/>
        <v>49</v>
      </c>
      <c r="K40" s="73">
        <f>IF($D$5/$C40&lt;3.8,K39,C40-5)</f>
        <v>21</v>
      </c>
      <c r="L40" s="90" t="str">
        <f t="shared" si="8"/>
        <v>52-66407H</v>
      </c>
      <c r="M40" s="90">
        <f t="shared" si="9"/>
        <v>45</v>
      </c>
      <c r="N40" s="73">
        <f t="shared" si="10"/>
        <v>5</v>
      </c>
      <c r="O40" s="91">
        <f t="shared" si="11"/>
        <v>811</v>
      </c>
      <c r="P40" s="72" t="str">
        <f t="shared" si="12"/>
        <v>52-66407H</v>
      </c>
      <c r="Q40" s="92">
        <f t="shared" si="13"/>
        <v>45</v>
      </c>
      <c r="R40" s="93">
        <f t="shared" si="6"/>
        <v>-0.76600000000000001</v>
      </c>
      <c r="S40" s="71"/>
      <c r="T40" s="12"/>
      <c r="U40" s="12"/>
      <c r="V40" s="4"/>
      <c r="W40" s="15"/>
    </row>
    <row r="41" spans="1:23" hidden="1" x14ac:dyDescent="0.2">
      <c r="A41" s="119">
        <v>450</v>
      </c>
      <c r="B41" s="94" t="s">
        <v>537</v>
      </c>
      <c r="C41" s="120">
        <v>33</v>
      </c>
      <c r="D41" s="82">
        <f t="shared" si="0"/>
        <v>1485</v>
      </c>
      <c r="E41" s="83">
        <f t="shared" si="1"/>
        <v>49</v>
      </c>
      <c r="F41" s="84" t="str">
        <f t="shared" si="2"/>
        <v>52-66407H</v>
      </c>
      <c r="G41" s="85">
        <f t="shared" si="3"/>
        <v>45</v>
      </c>
      <c r="H41" s="86">
        <f t="shared" si="4"/>
        <v>-0.70300000000000007</v>
      </c>
      <c r="I41" s="87">
        <f t="shared" si="5"/>
        <v>1485</v>
      </c>
      <c r="J41" s="95">
        <f t="shared" si="7"/>
        <v>49</v>
      </c>
      <c r="K41" s="73">
        <f>IF($D$5/$C41&lt;3.8,K40,C41-10)</f>
        <v>23</v>
      </c>
      <c r="L41" s="90" t="str">
        <f t="shared" si="8"/>
        <v>52-66407H</v>
      </c>
      <c r="M41" s="90">
        <f t="shared" si="9"/>
        <v>45</v>
      </c>
      <c r="N41" s="73">
        <f t="shared" si="10"/>
        <v>10</v>
      </c>
      <c r="O41" s="91">
        <f t="shared" si="11"/>
        <v>396.5</v>
      </c>
      <c r="P41" s="72" t="str">
        <f t="shared" si="12"/>
        <v>52-66407H</v>
      </c>
      <c r="Q41" s="92">
        <f t="shared" si="13"/>
        <v>45</v>
      </c>
      <c r="R41" s="93">
        <f t="shared" si="6"/>
        <v>-0.70300000000000007</v>
      </c>
      <c r="S41" s="71"/>
      <c r="T41" s="12"/>
      <c r="U41" s="12"/>
      <c r="V41" s="4"/>
      <c r="W41" s="96"/>
    </row>
    <row r="42" spans="1:23" hidden="1" x14ac:dyDescent="0.2">
      <c r="A42" s="79">
        <v>500</v>
      </c>
      <c r="B42" s="80" t="s">
        <v>538</v>
      </c>
      <c r="C42" s="81">
        <v>40</v>
      </c>
      <c r="D42" s="82">
        <f t="shared" si="0"/>
        <v>1800</v>
      </c>
      <c r="E42" s="83">
        <f t="shared" si="1"/>
        <v>49</v>
      </c>
      <c r="F42" s="84" t="str">
        <f t="shared" si="2"/>
        <v>52-66407H</v>
      </c>
      <c r="G42" s="85">
        <f t="shared" si="3"/>
        <v>45</v>
      </c>
      <c r="H42" s="86">
        <f t="shared" si="4"/>
        <v>-0.64</v>
      </c>
      <c r="I42" s="87">
        <f t="shared" si="5"/>
        <v>1800</v>
      </c>
      <c r="J42" s="95">
        <f t="shared" si="7"/>
        <v>49</v>
      </c>
      <c r="K42" s="73">
        <f>IF($D$5/$C42&lt;3.8,K41,C42-10)</f>
        <v>30</v>
      </c>
      <c r="L42" s="90" t="str">
        <f t="shared" si="8"/>
        <v>52-66407H</v>
      </c>
      <c r="M42" s="90">
        <f t="shared" si="9"/>
        <v>45</v>
      </c>
      <c r="N42" s="73">
        <f t="shared" si="10"/>
        <v>10</v>
      </c>
      <c r="O42" s="91">
        <f t="shared" si="11"/>
        <v>365</v>
      </c>
      <c r="P42" s="72" t="str">
        <f t="shared" si="12"/>
        <v>52-66407H</v>
      </c>
      <c r="Q42" s="92">
        <f t="shared" si="13"/>
        <v>45</v>
      </c>
      <c r="R42" s="93">
        <f t="shared" si="6"/>
        <v>-0.64</v>
      </c>
      <c r="S42" s="71"/>
      <c r="T42" s="12"/>
      <c r="U42" s="12"/>
      <c r="V42" s="4"/>
      <c r="W42" s="15"/>
    </row>
    <row r="43" spans="1:23" hidden="1" x14ac:dyDescent="0.2">
      <c r="A43" s="119">
        <v>600</v>
      </c>
      <c r="B43" s="94" t="s">
        <v>539</v>
      </c>
      <c r="C43" s="120">
        <v>56</v>
      </c>
      <c r="D43" s="82">
        <f t="shared" si="0"/>
        <v>2520</v>
      </c>
      <c r="E43" s="83">
        <f t="shared" si="1"/>
        <v>49</v>
      </c>
      <c r="F43" s="84" t="str">
        <f t="shared" si="2"/>
        <v>52-66407H</v>
      </c>
      <c r="G43" s="85">
        <f t="shared" si="3"/>
        <v>45</v>
      </c>
      <c r="H43" s="86">
        <f t="shared" si="4"/>
        <v>-0.496</v>
      </c>
      <c r="I43" s="87">
        <f t="shared" si="5"/>
        <v>2520</v>
      </c>
      <c r="J43" s="95">
        <f t="shared" si="7"/>
        <v>49</v>
      </c>
      <c r="K43" s="73">
        <f>IF($D$5/$C43&lt;3.8,K42,C43-15)</f>
        <v>41</v>
      </c>
      <c r="L43" s="90" t="str">
        <f t="shared" si="8"/>
        <v>52-66407H</v>
      </c>
      <c r="M43" s="90">
        <f t="shared" si="9"/>
        <v>45</v>
      </c>
      <c r="N43" s="73">
        <f t="shared" si="10"/>
        <v>15</v>
      </c>
      <c r="O43" s="91">
        <f t="shared" si="11"/>
        <v>210.33333333333334</v>
      </c>
      <c r="P43" s="72" t="str">
        <f t="shared" si="12"/>
        <v>52-66407H</v>
      </c>
      <c r="Q43" s="92">
        <f t="shared" si="13"/>
        <v>45</v>
      </c>
      <c r="R43" s="93">
        <f t="shared" si="6"/>
        <v>-0.496</v>
      </c>
      <c r="S43" s="71"/>
      <c r="T43" s="12"/>
      <c r="U43" s="12"/>
      <c r="V43" s="4"/>
      <c r="W43" s="15"/>
    </row>
    <row r="44" spans="1:23" hidden="1" x14ac:dyDescent="0.2">
      <c r="A44" s="79">
        <v>800</v>
      </c>
      <c r="B44" s="80" t="s">
        <v>540</v>
      </c>
      <c r="C44" s="81">
        <v>85</v>
      </c>
      <c r="D44" s="82">
        <f t="shared" si="0"/>
        <v>3825</v>
      </c>
      <c r="E44" s="83">
        <f t="shared" si="1"/>
        <v>49</v>
      </c>
      <c r="F44" s="84" t="str">
        <f t="shared" si="2"/>
        <v>52-66407H</v>
      </c>
      <c r="G44" s="85">
        <f t="shared" si="3"/>
        <v>45</v>
      </c>
      <c r="H44" s="86">
        <f t="shared" si="4"/>
        <v>-0.23499999999999999</v>
      </c>
      <c r="I44" s="87">
        <f t="shared" si="5"/>
        <v>3825</v>
      </c>
      <c r="J44" s="95">
        <f t="shared" si="7"/>
        <v>49</v>
      </c>
      <c r="K44" s="73">
        <f>IF($D$5/$C44&lt;3.8,K43,C44-20)</f>
        <v>65</v>
      </c>
      <c r="L44" s="90" t="str">
        <f t="shared" si="8"/>
        <v>52-66407H</v>
      </c>
      <c r="M44" s="90">
        <f t="shared" si="9"/>
        <v>45</v>
      </c>
      <c r="N44" s="73">
        <f t="shared" si="10"/>
        <v>20</v>
      </c>
      <c r="O44" s="91">
        <f t="shared" si="11"/>
        <v>103.75</v>
      </c>
      <c r="P44" s="72" t="str">
        <f t="shared" si="12"/>
        <v>52-66407H</v>
      </c>
      <c r="Q44" s="92">
        <f t="shared" si="13"/>
        <v>45</v>
      </c>
      <c r="R44" s="93">
        <f t="shared" si="6"/>
        <v>-0.23499999999999999</v>
      </c>
      <c r="S44" s="71"/>
    </row>
    <row r="45" spans="1:23" hidden="1" x14ac:dyDescent="0.2">
      <c r="A45" s="119">
        <v>900</v>
      </c>
      <c r="B45" s="94" t="s">
        <v>541</v>
      </c>
      <c r="C45" s="120">
        <v>112</v>
      </c>
      <c r="D45" s="82">
        <f t="shared" si="0"/>
        <v>4592</v>
      </c>
      <c r="E45" s="83">
        <f t="shared" si="1"/>
        <v>46</v>
      </c>
      <c r="F45" s="84" t="str">
        <f t="shared" si="2"/>
        <v>52-66407</v>
      </c>
      <c r="G45" s="85">
        <f t="shared" si="3"/>
        <v>41</v>
      </c>
      <c r="H45" s="86">
        <f t="shared" si="4"/>
        <v>-8.1600000000000006E-2</v>
      </c>
      <c r="I45" s="87">
        <f t="shared" si="5"/>
        <v>5040</v>
      </c>
      <c r="J45" s="95">
        <f t="shared" si="7"/>
        <v>49</v>
      </c>
      <c r="K45" s="73">
        <f t="shared" ref="K45:K46" si="14">IF($D$5/$C45&lt;3.8,K44,C45-20)</f>
        <v>92</v>
      </c>
      <c r="L45" s="90" t="str">
        <f t="shared" si="8"/>
        <v>52-66407H</v>
      </c>
      <c r="M45" s="90">
        <f t="shared" si="9"/>
        <v>45</v>
      </c>
      <c r="N45" s="73">
        <f t="shared" si="10"/>
        <v>20</v>
      </c>
      <c r="O45" s="91">
        <f t="shared" si="11"/>
        <v>43</v>
      </c>
      <c r="P45" s="72" t="str">
        <f t="shared" si="12"/>
        <v>52-66407H</v>
      </c>
      <c r="Q45" s="92">
        <f t="shared" si="13"/>
        <v>45</v>
      </c>
      <c r="R45" s="93">
        <f t="shared" si="6"/>
        <v>8.0000000000000071E-3</v>
      </c>
      <c r="S45" s="71"/>
    </row>
    <row r="46" spans="1:23" hidden="1" x14ac:dyDescent="0.2">
      <c r="A46" s="79">
        <v>1000</v>
      </c>
      <c r="B46" s="80" t="s">
        <v>542</v>
      </c>
      <c r="C46" s="81">
        <v>136</v>
      </c>
      <c r="D46" s="82">
        <f t="shared" si="0"/>
        <v>4936.7999999999993</v>
      </c>
      <c r="E46" s="83">
        <f t="shared" si="1"/>
        <v>42</v>
      </c>
      <c r="F46" s="84" t="str">
        <f t="shared" si="2"/>
        <v>52-66393</v>
      </c>
      <c r="G46" s="85">
        <f t="shared" si="3"/>
        <v>36.299999999999997</v>
      </c>
      <c r="H46" s="86">
        <f t="shared" si="4"/>
        <v>-1.2640000000000096E-2</v>
      </c>
      <c r="I46" s="87">
        <f t="shared" si="5"/>
        <v>5019.2000000000007</v>
      </c>
      <c r="J46" s="95">
        <f t="shared" si="7"/>
        <v>43</v>
      </c>
      <c r="K46" s="73">
        <f t="shared" si="14"/>
        <v>116</v>
      </c>
      <c r="L46" s="90" t="str">
        <f t="shared" si="8"/>
        <v>52-66398</v>
      </c>
      <c r="M46" s="90">
        <f t="shared" si="9"/>
        <v>37.700000000000003</v>
      </c>
      <c r="N46" s="73">
        <f t="shared" si="10"/>
        <v>20</v>
      </c>
      <c r="O46" s="91">
        <f t="shared" si="11"/>
        <v>31.339999999999964</v>
      </c>
      <c r="P46" s="72" t="str">
        <f t="shared" si="12"/>
        <v>52-66379</v>
      </c>
      <c r="Q46" s="92">
        <f t="shared" si="13"/>
        <v>32.299999999999997</v>
      </c>
      <c r="R46" s="93">
        <f t="shared" si="6"/>
        <v>3.8400000000000656E-3</v>
      </c>
      <c r="S46" s="71"/>
    </row>
    <row r="47" spans="1:23" hidden="1" x14ac:dyDescent="0.2">
      <c r="A47" s="3"/>
      <c r="I47" s="4"/>
      <c r="J47" s="44"/>
      <c r="R47" s="2"/>
      <c r="S47" s="71"/>
    </row>
    <row r="48" spans="1:23" ht="12.75" hidden="1" customHeight="1" x14ac:dyDescent="0.2">
      <c r="A48" s="346"/>
      <c r="B48" s="351" t="s">
        <v>36</v>
      </c>
      <c r="D48" s="12"/>
      <c r="E48" s="12"/>
      <c r="I48" s="249" t="s">
        <v>37</v>
      </c>
      <c r="J48" s="351" t="s">
        <v>38</v>
      </c>
      <c r="K48" s="249"/>
      <c r="L48" s="249"/>
      <c r="M48" s="249"/>
      <c r="N48" s="249"/>
      <c r="O48" s="249"/>
      <c r="R48" s="2"/>
      <c r="S48" s="10"/>
    </row>
    <row r="49" spans="1:19" ht="12.75" hidden="1" customHeight="1" x14ac:dyDescent="0.2">
      <c r="A49" s="346"/>
      <c r="B49" s="343" t="s">
        <v>39</v>
      </c>
      <c r="C49" s="120"/>
      <c r="D49" s="34"/>
      <c r="M49" s="10" t="s">
        <v>40</v>
      </c>
      <c r="R49" s="2"/>
      <c r="S49" s="71"/>
    </row>
    <row r="50" spans="1:19" ht="12.75" hidden="1" customHeight="1" x14ac:dyDescent="0.2">
      <c r="A50" s="346"/>
      <c r="B50" s="351" t="s">
        <v>41</v>
      </c>
      <c r="C50" s="9"/>
      <c r="D50" s="9"/>
      <c r="E50" s="9"/>
      <c r="H50" s="9"/>
      <c r="I50" s="9"/>
      <c r="M50" s="11" t="s">
        <v>42</v>
      </c>
      <c r="R50" s="2"/>
      <c r="S50" s="71"/>
    </row>
    <row r="51" spans="1:19" ht="12.75" hidden="1" customHeight="1" x14ac:dyDescent="0.2">
      <c r="A51" s="339"/>
      <c r="C51" s="547" t="s">
        <v>43</v>
      </c>
      <c r="D51" s="547"/>
      <c r="E51" s="547"/>
      <c r="F51" s="547"/>
      <c r="G51" s="547"/>
      <c r="H51" s="547"/>
      <c r="I51" s="547"/>
      <c r="J51" s="249"/>
      <c r="R51" s="2"/>
      <c r="S51" s="71"/>
    </row>
    <row r="52" spans="1:19" ht="12.75" hidden="1" customHeight="1" x14ac:dyDescent="0.2">
      <c r="A52" s="342"/>
      <c r="C52" s="527" t="s">
        <v>8</v>
      </c>
      <c r="D52" s="527"/>
      <c r="E52" s="527"/>
      <c r="F52" s="527"/>
      <c r="G52" s="527" t="s">
        <v>7</v>
      </c>
      <c r="H52" s="527"/>
      <c r="I52" s="527"/>
      <c r="M52" t="s">
        <v>44</v>
      </c>
      <c r="R52" s="2"/>
      <c r="S52" s="71"/>
    </row>
    <row r="53" spans="1:19" ht="12.75" hidden="1" customHeight="1" x14ac:dyDescent="0.2">
      <c r="A53" s="339"/>
      <c r="B53" s="352"/>
      <c r="C53" s="9" t="s">
        <v>6</v>
      </c>
      <c r="D53" s="352" t="s">
        <v>19</v>
      </c>
      <c r="E53" s="9" t="s">
        <v>0</v>
      </c>
      <c r="F53" s="9"/>
      <c r="G53" s="352" t="s">
        <v>19</v>
      </c>
      <c r="H53" s="9" t="s">
        <v>0</v>
      </c>
      <c r="I53" s="9"/>
      <c r="K53" s="347"/>
      <c r="L53" s="351"/>
      <c r="R53" s="2"/>
      <c r="S53" s="71"/>
    </row>
    <row r="54" spans="1:19" ht="12.75" hidden="1" customHeight="1" x14ac:dyDescent="0.2">
      <c r="A54" s="3"/>
      <c r="C54" s="9"/>
      <c r="E54" s="9" t="s">
        <v>4</v>
      </c>
      <c r="F54" s="9" t="s">
        <v>5</v>
      </c>
      <c r="G54" s="9"/>
      <c r="H54" s="9" t="s">
        <v>4</v>
      </c>
      <c r="I54" s="9" t="s">
        <v>5</v>
      </c>
      <c r="M54" s="249" t="s">
        <v>45</v>
      </c>
      <c r="R54" s="2"/>
      <c r="S54" s="71"/>
    </row>
    <row r="55" spans="1:19" ht="12.75" hidden="1" customHeight="1" x14ac:dyDescent="0.2">
      <c r="A55" s="339"/>
      <c r="B55" s="340"/>
      <c r="C55" s="350"/>
      <c r="D55" s="340"/>
      <c r="E55" s="9"/>
      <c r="F55" s="9"/>
      <c r="G55" s="340">
        <f t="shared" ref="G55:I98" si="15">D56</f>
        <v>0</v>
      </c>
      <c r="H55" s="9"/>
      <c r="I55" s="9"/>
      <c r="R55" s="2"/>
      <c r="S55" s="71"/>
    </row>
    <row r="56" spans="1:19" ht="12.75" hidden="1" customHeight="1" x14ac:dyDescent="0.2">
      <c r="A56" s="342"/>
      <c r="B56" s="340"/>
      <c r="C56" s="341"/>
      <c r="D56" s="340">
        <v>0</v>
      </c>
      <c r="G56" s="340">
        <f t="shared" si="15"/>
        <v>3.8</v>
      </c>
      <c r="H56" s="341">
        <f t="shared" si="15"/>
        <v>13</v>
      </c>
      <c r="I56" s="340" t="str">
        <f t="shared" si="15"/>
        <v>52-55179</v>
      </c>
      <c r="K56" s="87">
        <f>D30</f>
        <v>45</v>
      </c>
      <c r="L56" s="249" t="s">
        <v>46</v>
      </c>
      <c r="M56" t="s">
        <v>36</v>
      </c>
      <c r="R56" s="2"/>
      <c r="S56" s="71"/>
    </row>
    <row r="57" spans="1:19" ht="12.75" hidden="1" customHeight="1" x14ac:dyDescent="0.2">
      <c r="A57" s="342"/>
      <c r="B57" s="340"/>
      <c r="C57" s="341">
        <v>3820</v>
      </c>
      <c r="D57" s="340">
        <v>3.8</v>
      </c>
      <c r="E57">
        <v>13</v>
      </c>
      <c r="F57" t="s">
        <v>521</v>
      </c>
      <c r="G57" s="340">
        <f t="shared" si="15"/>
        <v>3.9</v>
      </c>
      <c r="H57" s="341">
        <f t="shared" si="15"/>
        <v>13</v>
      </c>
      <c r="I57" s="340" t="str">
        <f t="shared" si="15"/>
        <v>52-55184</v>
      </c>
      <c r="K57" s="349">
        <f>E30</f>
        <v>49</v>
      </c>
      <c r="L57" s="249" t="s">
        <v>47</v>
      </c>
      <c r="M57" t="s">
        <v>48</v>
      </c>
      <c r="R57" s="2"/>
      <c r="S57" s="71"/>
    </row>
    <row r="58" spans="1:19" ht="12.75" hidden="1" customHeight="1" x14ac:dyDescent="0.2">
      <c r="A58" s="342"/>
      <c r="B58" s="340"/>
      <c r="C58">
        <v>3931</v>
      </c>
      <c r="D58" s="340">
        <v>3.9</v>
      </c>
      <c r="E58">
        <v>13</v>
      </c>
      <c r="F58" t="s">
        <v>520</v>
      </c>
      <c r="G58" s="340">
        <f t="shared" si="15"/>
        <v>4</v>
      </c>
      <c r="H58" s="341">
        <f t="shared" si="15"/>
        <v>13</v>
      </c>
      <c r="I58" s="340" t="str">
        <f t="shared" si="15"/>
        <v>52-55189</v>
      </c>
      <c r="K58" s="349" t="str">
        <f>F30</f>
        <v>52-66407H</v>
      </c>
      <c r="L58" s="249" t="s">
        <v>49</v>
      </c>
      <c r="M58" s="348" t="s">
        <v>50</v>
      </c>
      <c r="R58" s="2"/>
      <c r="S58" s="71"/>
    </row>
    <row r="59" spans="1:19" ht="12.75" hidden="1" customHeight="1" x14ac:dyDescent="0.2">
      <c r="A59" s="342"/>
      <c r="B59" s="340"/>
      <c r="C59">
        <v>4049</v>
      </c>
      <c r="D59" s="340">
        <v>4</v>
      </c>
      <c r="E59">
        <v>13</v>
      </c>
      <c r="F59" t="s">
        <v>519</v>
      </c>
      <c r="G59" s="340">
        <f t="shared" si="15"/>
        <v>4.2</v>
      </c>
      <c r="H59" s="341">
        <f t="shared" si="15"/>
        <v>13</v>
      </c>
      <c r="I59" s="340" t="str">
        <f t="shared" si="15"/>
        <v>52-55194</v>
      </c>
      <c r="K59" s="347">
        <f>G30</f>
        <v>45</v>
      </c>
      <c r="L59" s="249" t="s">
        <v>51</v>
      </c>
      <c r="M59" t="s">
        <v>52</v>
      </c>
      <c r="R59" s="2"/>
      <c r="S59" s="71"/>
    </row>
    <row r="60" spans="1:19" ht="12.75" hidden="1" customHeight="1" x14ac:dyDescent="0.2">
      <c r="A60" s="342"/>
      <c r="B60" s="340"/>
      <c r="C60">
        <v>4199</v>
      </c>
      <c r="D60" s="340">
        <v>4.2</v>
      </c>
      <c r="E60">
        <v>13</v>
      </c>
      <c r="F60" t="s">
        <v>518</v>
      </c>
      <c r="G60" s="340">
        <f t="shared" si="15"/>
        <v>4.4000000000000004</v>
      </c>
      <c r="H60" s="341">
        <f t="shared" si="15"/>
        <v>13</v>
      </c>
      <c r="I60" s="340" t="str">
        <f t="shared" si="15"/>
        <v>52-55200</v>
      </c>
      <c r="R60" s="2"/>
      <c r="S60" s="71"/>
    </row>
    <row r="61" spans="1:19" ht="12.75" hidden="1" customHeight="1" x14ac:dyDescent="0.2">
      <c r="A61" s="342"/>
      <c r="B61" s="340"/>
      <c r="C61">
        <v>4399</v>
      </c>
      <c r="D61" s="340">
        <v>4.4000000000000004</v>
      </c>
      <c r="E61">
        <v>13</v>
      </c>
      <c r="F61" t="s">
        <v>517</v>
      </c>
      <c r="G61" s="340">
        <f t="shared" si="15"/>
        <v>4.5999999999999996</v>
      </c>
      <c r="H61" s="341">
        <f t="shared" si="15"/>
        <v>14</v>
      </c>
      <c r="I61" s="340" t="str">
        <f t="shared" si="15"/>
        <v>52-55206</v>
      </c>
      <c r="R61" s="2"/>
      <c r="S61" s="71"/>
    </row>
    <row r="62" spans="1:19" ht="12.75" hidden="1" customHeight="1" x14ac:dyDescent="0.2">
      <c r="A62" s="342"/>
      <c r="B62" s="340"/>
      <c r="C62">
        <v>4640</v>
      </c>
      <c r="D62" s="340">
        <v>4.5999999999999996</v>
      </c>
      <c r="E62">
        <v>14</v>
      </c>
      <c r="F62" t="s">
        <v>516</v>
      </c>
      <c r="G62" s="340">
        <f t="shared" si="15"/>
        <v>5</v>
      </c>
      <c r="H62" s="341">
        <f t="shared" si="15"/>
        <v>14</v>
      </c>
      <c r="I62" s="340" t="str">
        <f t="shared" si="15"/>
        <v>52-55213</v>
      </c>
      <c r="K62" t="s">
        <v>515</v>
      </c>
      <c r="R62" s="2"/>
      <c r="S62" s="71"/>
    </row>
    <row r="63" spans="1:19" ht="12.75" hidden="1" customHeight="1" x14ac:dyDescent="0.2">
      <c r="A63" s="342"/>
      <c r="B63" s="340"/>
      <c r="C63">
        <v>4951</v>
      </c>
      <c r="D63" s="340">
        <v>5</v>
      </c>
      <c r="E63">
        <v>14</v>
      </c>
      <c r="F63" t="s">
        <v>514</v>
      </c>
      <c r="G63" s="340">
        <f t="shared" si="15"/>
        <v>5.3</v>
      </c>
      <c r="H63" s="341">
        <f t="shared" si="15"/>
        <v>14</v>
      </c>
      <c r="I63" s="340" t="str">
        <f t="shared" si="15"/>
        <v>52-55220</v>
      </c>
      <c r="K63" s="344"/>
      <c r="R63" s="2"/>
      <c r="S63" s="71"/>
    </row>
    <row r="64" spans="1:19" ht="12.75" hidden="1" customHeight="1" x14ac:dyDescent="0.2">
      <c r="A64" s="346"/>
      <c r="B64" s="340"/>
      <c r="C64">
        <v>5310</v>
      </c>
      <c r="D64" s="340">
        <v>5.3</v>
      </c>
      <c r="E64">
        <v>14</v>
      </c>
      <c r="F64" t="s">
        <v>513</v>
      </c>
      <c r="G64" s="340">
        <f t="shared" si="15"/>
        <v>5.7</v>
      </c>
      <c r="H64" s="341">
        <f t="shared" si="15"/>
        <v>14</v>
      </c>
      <c r="I64" s="340" t="str">
        <f t="shared" si="15"/>
        <v>52-55227</v>
      </c>
      <c r="K64" s="344"/>
      <c r="R64" s="2"/>
      <c r="S64" s="71"/>
    </row>
    <row r="65" spans="1:19" ht="12.75" hidden="1" customHeight="1" x14ac:dyDescent="0.2">
      <c r="A65" s="342"/>
      <c r="B65" s="340"/>
      <c r="C65">
        <v>5700</v>
      </c>
      <c r="D65" s="340">
        <v>5.7</v>
      </c>
      <c r="E65">
        <v>14</v>
      </c>
      <c r="F65" t="s">
        <v>512</v>
      </c>
      <c r="G65" s="340">
        <f t="shared" si="15"/>
        <v>6.2</v>
      </c>
      <c r="H65" s="341">
        <f t="shared" si="15"/>
        <v>14</v>
      </c>
      <c r="I65" s="340" t="str">
        <f t="shared" si="15"/>
        <v>52-55235</v>
      </c>
      <c r="K65" s="345" t="s">
        <v>10</v>
      </c>
      <c r="L65" s="344" t="s">
        <v>53</v>
      </c>
      <c r="R65" s="2"/>
      <c r="S65" s="71"/>
    </row>
    <row r="66" spans="1:19" ht="12.75" hidden="1" customHeight="1" x14ac:dyDescent="0.2">
      <c r="A66" s="342"/>
      <c r="B66" s="340"/>
      <c r="C66">
        <v>6209</v>
      </c>
      <c r="D66" s="340">
        <v>6.2</v>
      </c>
      <c r="E66">
        <v>14</v>
      </c>
      <c r="F66" t="s">
        <v>511</v>
      </c>
      <c r="G66" s="340">
        <f t="shared" si="15"/>
        <v>6.5</v>
      </c>
      <c r="H66" s="341">
        <f t="shared" si="15"/>
        <v>14</v>
      </c>
      <c r="I66" s="340" t="str">
        <f t="shared" si="15"/>
        <v>52-55243</v>
      </c>
      <c r="K66" s="81">
        <v>50</v>
      </c>
      <c r="L66" s="249" t="s">
        <v>510</v>
      </c>
      <c r="R66" s="2"/>
      <c r="S66" s="71"/>
    </row>
    <row r="67" spans="1:19" ht="12.75" hidden="1" customHeight="1" x14ac:dyDescent="0.2">
      <c r="A67" s="342"/>
      <c r="B67" s="340"/>
      <c r="C67">
        <v>6511</v>
      </c>
      <c r="D67" s="340">
        <v>6.5</v>
      </c>
      <c r="E67">
        <v>14</v>
      </c>
      <c r="F67" t="s">
        <v>509</v>
      </c>
      <c r="G67" s="340">
        <f t="shared" si="15"/>
        <v>7.1</v>
      </c>
      <c r="H67" s="341">
        <f t="shared" si="15"/>
        <v>14</v>
      </c>
      <c r="I67" s="340" t="str">
        <f t="shared" si="15"/>
        <v>52-55251</v>
      </c>
      <c r="K67" s="120">
        <v>65</v>
      </c>
      <c r="L67" s="343" t="s">
        <v>508</v>
      </c>
      <c r="R67" s="2"/>
      <c r="S67" s="71"/>
    </row>
    <row r="68" spans="1:19" ht="12.75" hidden="1" customHeight="1" x14ac:dyDescent="0.2">
      <c r="A68" s="342"/>
      <c r="B68" s="340"/>
      <c r="C68">
        <v>7081</v>
      </c>
      <c r="D68" s="340">
        <v>7.1</v>
      </c>
      <c r="E68">
        <v>14</v>
      </c>
      <c r="F68" t="s">
        <v>507</v>
      </c>
      <c r="G68" s="340">
        <f t="shared" si="15"/>
        <v>7.9</v>
      </c>
      <c r="H68" s="341">
        <f t="shared" si="15"/>
        <v>15</v>
      </c>
      <c r="I68" s="340" t="str">
        <f t="shared" si="15"/>
        <v>52-55260</v>
      </c>
      <c r="K68" s="81">
        <v>80</v>
      </c>
      <c r="L68" s="249" t="s">
        <v>506</v>
      </c>
      <c r="R68" s="2"/>
      <c r="S68" s="71"/>
    </row>
    <row r="69" spans="1:19" ht="12.75" hidden="1" customHeight="1" x14ac:dyDescent="0.2">
      <c r="A69" s="342"/>
      <c r="B69" s="340"/>
      <c r="C69">
        <v>7901</v>
      </c>
      <c r="D69" s="340">
        <v>7.9</v>
      </c>
      <c r="E69">
        <v>15</v>
      </c>
      <c r="F69" t="s">
        <v>505</v>
      </c>
      <c r="G69" s="340">
        <f t="shared" si="15"/>
        <v>8.9</v>
      </c>
      <c r="H69" s="341">
        <f t="shared" si="15"/>
        <v>16</v>
      </c>
      <c r="I69" s="340" t="str">
        <f t="shared" si="15"/>
        <v>52-55269</v>
      </c>
      <c r="K69" s="120">
        <v>100</v>
      </c>
      <c r="L69" s="249" t="s">
        <v>504</v>
      </c>
      <c r="R69" s="2"/>
      <c r="S69" s="71"/>
    </row>
    <row r="70" spans="1:19" ht="12.75" hidden="1" customHeight="1" x14ac:dyDescent="0.2">
      <c r="A70" s="342"/>
      <c r="B70" s="340"/>
      <c r="C70">
        <v>8900</v>
      </c>
      <c r="D70" s="340">
        <v>8.9</v>
      </c>
      <c r="E70">
        <v>16</v>
      </c>
      <c r="F70" t="s">
        <v>503</v>
      </c>
      <c r="G70" s="340">
        <f t="shared" si="15"/>
        <v>10.4</v>
      </c>
      <c r="H70" s="341">
        <f t="shared" si="15"/>
        <v>19</v>
      </c>
      <c r="I70" s="340" t="str">
        <f t="shared" si="15"/>
        <v>52-55279</v>
      </c>
      <c r="K70" s="81">
        <v>125</v>
      </c>
      <c r="L70" s="249" t="s">
        <v>502</v>
      </c>
      <c r="R70" s="2"/>
      <c r="S70" s="71"/>
    </row>
    <row r="71" spans="1:19" ht="12.75" hidden="1" customHeight="1" x14ac:dyDescent="0.2">
      <c r="A71" s="342"/>
      <c r="B71" s="340"/>
      <c r="C71">
        <v>10399</v>
      </c>
      <c r="D71" s="340">
        <v>10.4</v>
      </c>
      <c r="E71">
        <v>19</v>
      </c>
      <c r="F71" t="s">
        <v>501</v>
      </c>
      <c r="G71" s="340">
        <f t="shared" si="15"/>
        <v>11.4</v>
      </c>
      <c r="H71" s="341">
        <f t="shared" si="15"/>
        <v>22</v>
      </c>
      <c r="I71" s="340" t="str">
        <f t="shared" si="15"/>
        <v>52-55287</v>
      </c>
      <c r="K71" s="120">
        <v>150</v>
      </c>
      <c r="L71" s="249" t="s">
        <v>500</v>
      </c>
      <c r="R71" s="2"/>
      <c r="S71" s="71"/>
    </row>
    <row r="72" spans="1:19" ht="12.75" hidden="1" customHeight="1" x14ac:dyDescent="0.2">
      <c r="A72" s="342"/>
      <c r="B72" s="340"/>
      <c r="C72">
        <v>11355</v>
      </c>
      <c r="D72" s="340">
        <v>11.4</v>
      </c>
      <c r="E72">
        <v>22</v>
      </c>
      <c r="F72" t="s">
        <v>499</v>
      </c>
      <c r="G72" s="340">
        <f t="shared" si="15"/>
        <v>12.5</v>
      </c>
      <c r="H72" s="341">
        <f t="shared" si="15"/>
        <v>23</v>
      </c>
      <c r="I72" s="340" t="str">
        <f t="shared" si="15"/>
        <v>52-55292</v>
      </c>
      <c r="K72" s="81">
        <v>200</v>
      </c>
      <c r="L72" s="249" t="s">
        <v>498</v>
      </c>
      <c r="R72" s="2"/>
      <c r="S72" s="71"/>
    </row>
    <row r="73" spans="1:19" ht="12.75" hidden="1" customHeight="1" x14ac:dyDescent="0.2">
      <c r="A73" s="342"/>
      <c r="B73" s="340"/>
      <c r="C73">
        <v>12491</v>
      </c>
      <c r="D73" s="340">
        <v>12.5</v>
      </c>
      <c r="E73">
        <v>23</v>
      </c>
      <c r="F73" t="s">
        <v>497</v>
      </c>
      <c r="G73" s="340">
        <f t="shared" si="15"/>
        <v>13.4</v>
      </c>
      <c r="H73" s="341">
        <f t="shared" si="15"/>
        <v>24</v>
      </c>
      <c r="I73" s="340" t="str">
        <f t="shared" si="15"/>
        <v>52-55298</v>
      </c>
      <c r="K73" s="120">
        <v>250</v>
      </c>
      <c r="L73" s="249" t="s">
        <v>496</v>
      </c>
      <c r="R73" s="2"/>
      <c r="S73" s="71"/>
    </row>
    <row r="74" spans="1:19" ht="12.75" hidden="1" customHeight="1" x14ac:dyDescent="0.2">
      <c r="A74" s="342"/>
      <c r="B74" s="340"/>
      <c r="C74">
        <v>13399</v>
      </c>
      <c r="D74" s="340">
        <v>13.4</v>
      </c>
      <c r="E74">
        <v>24</v>
      </c>
      <c r="F74" t="s">
        <v>495</v>
      </c>
      <c r="G74" s="340">
        <f t="shared" si="15"/>
        <v>14.8</v>
      </c>
      <c r="H74" s="341">
        <f t="shared" si="15"/>
        <v>27</v>
      </c>
      <c r="I74" s="340" t="str">
        <f t="shared" si="15"/>
        <v>52-55303</v>
      </c>
      <c r="K74" s="81">
        <v>300</v>
      </c>
      <c r="L74" s="249" t="s">
        <v>494</v>
      </c>
      <c r="R74" s="2"/>
      <c r="S74" s="71"/>
    </row>
    <row r="75" spans="1:19" ht="12.75" hidden="1" customHeight="1" x14ac:dyDescent="0.2">
      <c r="A75" s="342"/>
      <c r="B75" s="340"/>
      <c r="C75">
        <v>14762</v>
      </c>
      <c r="D75" s="340">
        <v>14.8</v>
      </c>
      <c r="E75">
        <v>27</v>
      </c>
      <c r="F75" t="s">
        <v>493</v>
      </c>
      <c r="G75" s="340">
        <f t="shared" si="15"/>
        <v>16</v>
      </c>
      <c r="H75" s="341">
        <f t="shared" si="15"/>
        <v>29</v>
      </c>
      <c r="I75" s="340" t="str">
        <f t="shared" si="15"/>
        <v>52-55308</v>
      </c>
      <c r="K75" s="120">
        <v>350</v>
      </c>
      <c r="L75" s="249" t="s">
        <v>492</v>
      </c>
      <c r="R75" s="2"/>
      <c r="S75" s="71"/>
    </row>
    <row r="76" spans="1:19" ht="12.75" hidden="1" customHeight="1" x14ac:dyDescent="0.2">
      <c r="A76" s="342"/>
      <c r="B76" s="340"/>
      <c r="C76">
        <v>15999</v>
      </c>
      <c r="D76" s="340">
        <v>16</v>
      </c>
      <c r="E76">
        <v>29</v>
      </c>
      <c r="F76" t="s">
        <v>491</v>
      </c>
      <c r="G76" s="340">
        <f t="shared" si="15"/>
        <v>17</v>
      </c>
      <c r="H76" s="341">
        <f t="shared" si="15"/>
        <v>34</v>
      </c>
      <c r="I76" s="340" t="str">
        <f t="shared" si="15"/>
        <v>52-66285</v>
      </c>
      <c r="K76" s="81">
        <v>400</v>
      </c>
      <c r="L76" s="249" t="s">
        <v>490</v>
      </c>
      <c r="R76" s="2"/>
      <c r="S76" s="71"/>
    </row>
    <row r="77" spans="1:19" ht="12.75" hidden="1" customHeight="1" x14ac:dyDescent="0.2">
      <c r="A77" s="342"/>
      <c r="B77" s="340"/>
      <c r="C77">
        <v>17037</v>
      </c>
      <c r="D77" s="340">
        <v>17</v>
      </c>
      <c r="E77">
        <v>34</v>
      </c>
      <c r="F77" t="s">
        <v>489</v>
      </c>
      <c r="G77" s="340">
        <f t="shared" si="15"/>
        <v>18.100000000000001</v>
      </c>
      <c r="H77" s="341">
        <f t="shared" si="15"/>
        <v>34</v>
      </c>
      <c r="I77" s="340" t="str">
        <f t="shared" si="15"/>
        <v>52-66292</v>
      </c>
      <c r="K77" s="120">
        <v>450</v>
      </c>
      <c r="L77" s="249" t="s">
        <v>488</v>
      </c>
      <c r="R77" s="2"/>
      <c r="S77" s="71"/>
    </row>
    <row r="78" spans="1:19" ht="12.75" hidden="1" customHeight="1" x14ac:dyDescent="0.2">
      <c r="A78" s="342"/>
      <c r="B78" s="340"/>
      <c r="C78">
        <v>18148</v>
      </c>
      <c r="D78" s="340">
        <v>18.100000000000001</v>
      </c>
      <c r="E78">
        <v>34</v>
      </c>
      <c r="F78" t="s">
        <v>487</v>
      </c>
      <c r="G78" s="340">
        <f t="shared" si="15"/>
        <v>18.8</v>
      </c>
      <c r="H78" s="341">
        <f t="shared" si="15"/>
        <v>35</v>
      </c>
      <c r="I78" s="340" t="str">
        <f t="shared" si="15"/>
        <v>52-66301</v>
      </c>
      <c r="K78" s="81">
        <v>500</v>
      </c>
      <c r="L78" s="249" t="s">
        <v>486</v>
      </c>
      <c r="R78" s="2"/>
      <c r="S78" s="71"/>
    </row>
    <row r="79" spans="1:19" ht="12.75" hidden="1" customHeight="1" x14ac:dyDescent="0.2">
      <c r="A79" s="342"/>
      <c r="B79" s="340"/>
      <c r="C79">
        <v>18797</v>
      </c>
      <c r="D79" s="340">
        <v>18.8</v>
      </c>
      <c r="E79">
        <v>35</v>
      </c>
      <c r="F79" t="s">
        <v>485</v>
      </c>
      <c r="G79" s="340">
        <f t="shared" si="15"/>
        <v>19.5</v>
      </c>
      <c r="H79" s="341">
        <f t="shared" si="15"/>
        <v>35</v>
      </c>
      <c r="I79" s="340" t="str">
        <f t="shared" si="15"/>
        <v>52-66305</v>
      </c>
      <c r="K79" s="120">
        <v>600</v>
      </c>
      <c r="L79" s="249" t="s">
        <v>484</v>
      </c>
      <c r="R79" s="2"/>
      <c r="S79" s="71"/>
    </row>
    <row r="80" spans="1:19" ht="12.75" hidden="1" customHeight="1" x14ac:dyDescent="0.2">
      <c r="A80" s="342"/>
      <c r="B80" s="340"/>
      <c r="C80">
        <v>19467</v>
      </c>
      <c r="D80" s="340">
        <v>19.5</v>
      </c>
      <c r="E80">
        <v>35</v>
      </c>
      <c r="F80" t="s">
        <v>483</v>
      </c>
      <c r="G80" s="340">
        <f t="shared" si="15"/>
        <v>20.5</v>
      </c>
      <c r="H80" s="341">
        <f t="shared" si="15"/>
        <v>35</v>
      </c>
      <c r="I80" s="340" t="str">
        <f t="shared" si="15"/>
        <v>52-66312</v>
      </c>
      <c r="K80" s="81">
        <v>800</v>
      </c>
      <c r="L80" s="249" t="s">
        <v>482</v>
      </c>
      <c r="R80" s="2"/>
      <c r="S80" s="71"/>
    </row>
    <row r="81" spans="1:19" ht="12.75" hidden="1" customHeight="1" x14ac:dyDescent="0.2">
      <c r="A81" s="342"/>
      <c r="B81" s="340"/>
      <c r="C81">
        <v>20464</v>
      </c>
      <c r="D81" s="340">
        <v>20.5</v>
      </c>
      <c r="E81">
        <v>35</v>
      </c>
      <c r="F81" t="s">
        <v>481</v>
      </c>
      <c r="G81" s="340">
        <f t="shared" si="15"/>
        <v>21.5</v>
      </c>
      <c r="H81" s="341">
        <f t="shared" si="15"/>
        <v>36</v>
      </c>
      <c r="I81" s="340" t="str">
        <f t="shared" si="15"/>
        <v>52-66319</v>
      </c>
      <c r="K81" s="120">
        <v>900</v>
      </c>
      <c r="L81" s="249" t="s">
        <v>543</v>
      </c>
      <c r="R81" s="2"/>
      <c r="S81" s="71"/>
    </row>
    <row r="82" spans="1:19" ht="12.75" hidden="1" customHeight="1" x14ac:dyDescent="0.2">
      <c r="A82" s="342"/>
      <c r="B82" s="340"/>
      <c r="C82">
        <v>21527</v>
      </c>
      <c r="D82" s="340">
        <v>21.5</v>
      </c>
      <c r="E82">
        <v>36</v>
      </c>
      <c r="F82" t="s">
        <v>480</v>
      </c>
      <c r="G82" s="340">
        <f t="shared" si="15"/>
        <v>22.4</v>
      </c>
      <c r="H82" s="341">
        <f t="shared" si="15"/>
        <v>36</v>
      </c>
      <c r="I82" s="340" t="str">
        <f t="shared" si="15"/>
        <v>52-66326</v>
      </c>
      <c r="K82" s="81">
        <v>1000</v>
      </c>
      <c r="L82" s="249" t="s">
        <v>544</v>
      </c>
      <c r="R82" s="2"/>
      <c r="S82" s="71"/>
    </row>
    <row r="83" spans="1:19" ht="12.75" hidden="1" customHeight="1" x14ac:dyDescent="0.2">
      <c r="A83" s="342"/>
      <c r="B83" s="340"/>
      <c r="C83">
        <v>22449</v>
      </c>
      <c r="D83" s="340">
        <v>22.4</v>
      </c>
      <c r="E83">
        <v>36</v>
      </c>
      <c r="F83" t="s">
        <v>479</v>
      </c>
      <c r="G83" s="340">
        <f t="shared" si="15"/>
        <v>23.5</v>
      </c>
      <c r="H83" s="341">
        <f t="shared" si="15"/>
        <v>36</v>
      </c>
      <c r="I83" s="340" t="str">
        <f t="shared" si="15"/>
        <v>52-66332</v>
      </c>
      <c r="R83" s="2"/>
      <c r="S83" s="71"/>
    </row>
    <row r="84" spans="1:19" ht="12.75" hidden="1" customHeight="1" x14ac:dyDescent="0.2">
      <c r="A84" s="342"/>
      <c r="B84" s="340"/>
      <c r="C84">
        <v>23482</v>
      </c>
      <c r="D84" s="340">
        <v>23.5</v>
      </c>
      <c r="E84">
        <v>36</v>
      </c>
      <c r="F84" t="s">
        <v>478</v>
      </c>
      <c r="G84" s="340">
        <f t="shared" si="15"/>
        <v>24.5</v>
      </c>
      <c r="H84" s="341">
        <f t="shared" si="15"/>
        <v>37</v>
      </c>
      <c r="I84" s="340" t="str">
        <f t="shared" si="15"/>
        <v>52-66338</v>
      </c>
      <c r="R84" s="2"/>
      <c r="S84" s="71"/>
    </row>
    <row r="85" spans="1:19" ht="12.75" hidden="1" customHeight="1" x14ac:dyDescent="0.2">
      <c r="A85" s="342"/>
      <c r="B85" s="340"/>
      <c r="C85">
        <v>24531</v>
      </c>
      <c r="D85" s="340">
        <v>24.5</v>
      </c>
      <c r="E85">
        <v>37</v>
      </c>
      <c r="F85" t="s">
        <v>477</v>
      </c>
      <c r="G85" s="340">
        <f t="shared" si="15"/>
        <v>25.6</v>
      </c>
      <c r="H85" s="341">
        <f t="shared" si="15"/>
        <v>38</v>
      </c>
      <c r="I85" s="340" t="str">
        <f t="shared" si="15"/>
        <v>52-66344</v>
      </c>
      <c r="R85" s="2"/>
      <c r="S85" s="11"/>
    </row>
    <row r="86" spans="1:19" ht="12.75" hidden="1" customHeight="1" x14ac:dyDescent="0.2">
      <c r="A86" s="342"/>
      <c r="B86" s="340"/>
      <c r="C86">
        <v>25621</v>
      </c>
      <c r="D86" s="340">
        <v>25.6</v>
      </c>
      <c r="E86">
        <v>38</v>
      </c>
      <c r="F86" t="s">
        <v>476</v>
      </c>
      <c r="G86" s="340">
        <f t="shared" si="15"/>
        <v>26.5</v>
      </c>
      <c r="H86" s="341">
        <f t="shared" si="15"/>
        <v>38</v>
      </c>
      <c r="I86" s="340" t="str">
        <f t="shared" si="15"/>
        <v>52-66349</v>
      </c>
      <c r="R86" s="2"/>
    </row>
    <row r="87" spans="1:19" ht="12.75" hidden="1" customHeight="1" x14ac:dyDescent="0.2">
      <c r="A87" s="342"/>
      <c r="B87" s="340"/>
      <c r="C87">
        <v>26528</v>
      </c>
      <c r="D87" s="340">
        <v>26.5</v>
      </c>
      <c r="E87">
        <v>38</v>
      </c>
      <c r="F87" t="s">
        <v>475</v>
      </c>
      <c r="G87" s="340">
        <f t="shared" si="15"/>
        <v>27.7</v>
      </c>
      <c r="H87" s="341">
        <f t="shared" si="15"/>
        <v>38</v>
      </c>
      <c r="I87" s="340" t="str">
        <f t="shared" si="15"/>
        <v>52-66356</v>
      </c>
      <c r="R87" s="2"/>
      <c r="S87" s="11"/>
    </row>
    <row r="88" spans="1:19" ht="12.75" hidden="1" customHeight="1" x14ac:dyDescent="0.2">
      <c r="A88" s="342"/>
      <c r="B88" s="340"/>
      <c r="C88">
        <v>27686</v>
      </c>
      <c r="D88" s="340">
        <v>27.7</v>
      </c>
      <c r="E88">
        <v>38</v>
      </c>
      <c r="F88" t="s">
        <v>474</v>
      </c>
      <c r="G88" s="340">
        <f t="shared" si="15"/>
        <v>29.2</v>
      </c>
      <c r="H88" s="341">
        <f t="shared" si="15"/>
        <v>38</v>
      </c>
      <c r="I88" s="340" t="str">
        <f t="shared" si="15"/>
        <v>52-66362</v>
      </c>
      <c r="R88" s="2"/>
    </row>
    <row r="89" spans="1:19" ht="12.75" hidden="1" customHeight="1" x14ac:dyDescent="0.2">
      <c r="A89" s="342"/>
      <c r="B89" s="340"/>
      <c r="C89">
        <v>29157</v>
      </c>
      <c r="D89" s="340">
        <v>29.2</v>
      </c>
      <c r="E89">
        <v>38</v>
      </c>
      <c r="F89" t="s">
        <v>473</v>
      </c>
      <c r="G89" s="340">
        <f t="shared" si="15"/>
        <v>30</v>
      </c>
      <c r="H89" s="341">
        <f t="shared" si="15"/>
        <v>39</v>
      </c>
      <c r="I89" s="340" t="str">
        <f t="shared" si="15"/>
        <v>52-66367</v>
      </c>
      <c r="R89" s="2"/>
    </row>
    <row r="90" spans="1:19" ht="12.75" hidden="1" customHeight="1" x14ac:dyDescent="0.2">
      <c r="A90" s="342"/>
      <c r="B90" s="340"/>
      <c r="C90">
        <v>29954</v>
      </c>
      <c r="D90" s="340">
        <v>30</v>
      </c>
      <c r="E90">
        <v>39</v>
      </c>
      <c r="F90" t="s">
        <v>472</v>
      </c>
      <c r="G90" s="340">
        <f t="shared" si="15"/>
        <v>31</v>
      </c>
      <c r="H90" s="341">
        <f t="shared" si="15"/>
        <v>39</v>
      </c>
      <c r="I90" s="340" t="str">
        <f t="shared" si="15"/>
        <v>52-66373</v>
      </c>
      <c r="R90" s="2"/>
    </row>
    <row r="91" spans="1:19" ht="12.75" hidden="1" customHeight="1" x14ac:dyDescent="0.2">
      <c r="A91" s="342"/>
      <c r="B91" s="340"/>
      <c r="C91">
        <v>30976</v>
      </c>
      <c r="D91" s="340">
        <v>31</v>
      </c>
      <c r="E91">
        <v>39</v>
      </c>
      <c r="F91" t="s">
        <v>471</v>
      </c>
      <c r="G91" s="340">
        <f t="shared" si="15"/>
        <v>32.299999999999997</v>
      </c>
      <c r="H91" s="341">
        <f t="shared" si="15"/>
        <v>40</v>
      </c>
      <c r="I91" s="340" t="str">
        <f t="shared" si="15"/>
        <v>52-66379</v>
      </c>
      <c r="R91" s="2"/>
    </row>
    <row r="92" spans="1:19" ht="12.75" hidden="1" customHeight="1" x14ac:dyDescent="0.2">
      <c r="A92" s="342"/>
      <c r="B92" s="340"/>
      <c r="C92">
        <v>32260</v>
      </c>
      <c r="D92" s="340">
        <v>32.299999999999997</v>
      </c>
      <c r="E92">
        <v>40</v>
      </c>
      <c r="F92" t="s">
        <v>470</v>
      </c>
      <c r="G92" s="340">
        <f t="shared" si="15"/>
        <v>33.6</v>
      </c>
      <c r="H92" s="341">
        <f t="shared" si="15"/>
        <v>40</v>
      </c>
      <c r="I92" s="340" t="str">
        <f t="shared" si="15"/>
        <v>52-66385</v>
      </c>
      <c r="R92" s="2"/>
    </row>
    <row r="93" spans="1:19" ht="12.75" hidden="1" customHeight="1" x14ac:dyDescent="0.2">
      <c r="A93" s="342"/>
      <c r="B93" s="340"/>
      <c r="C93">
        <v>33565</v>
      </c>
      <c r="D93" s="340">
        <v>33.6</v>
      </c>
      <c r="E93">
        <v>40</v>
      </c>
      <c r="F93" t="s">
        <v>469</v>
      </c>
      <c r="G93" s="340">
        <f t="shared" si="15"/>
        <v>35</v>
      </c>
      <c r="H93" s="341">
        <f t="shared" si="15"/>
        <v>40</v>
      </c>
      <c r="I93" s="340" t="str">
        <f t="shared" si="15"/>
        <v>52-66391</v>
      </c>
      <c r="R93" s="2"/>
    </row>
    <row r="94" spans="1:19" ht="12.75" hidden="1" customHeight="1" x14ac:dyDescent="0.2">
      <c r="A94" s="342"/>
      <c r="B94" s="340"/>
      <c r="C94">
        <v>34953</v>
      </c>
      <c r="D94" s="340">
        <v>35</v>
      </c>
      <c r="E94">
        <v>40</v>
      </c>
      <c r="F94" t="s">
        <v>468</v>
      </c>
      <c r="G94" s="340">
        <f t="shared" si="15"/>
        <v>36.299999999999997</v>
      </c>
      <c r="H94" s="341">
        <f t="shared" si="15"/>
        <v>42</v>
      </c>
      <c r="I94" s="340" t="str">
        <f t="shared" si="15"/>
        <v>52-66393</v>
      </c>
      <c r="R94" s="2"/>
    </row>
    <row r="95" spans="1:19" ht="12.75" hidden="1" customHeight="1" x14ac:dyDescent="0.2">
      <c r="A95" s="342"/>
      <c r="B95" s="340"/>
      <c r="C95">
        <v>36336</v>
      </c>
      <c r="D95" s="340">
        <v>36.299999999999997</v>
      </c>
      <c r="E95">
        <v>42</v>
      </c>
      <c r="F95" t="s">
        <v>467</v>
      </c>
      <c r="G95" s="340">
        <f t="shared" si="15"/>
        <v>37.700000000000003</v>
      </c>
      <c r="H95" s="341">
        <f t="shared" si="15"/>
        <v>43</v>
      </c>
      <c r="I95" s="340" t="str">
        <f t="shared" si="15"/>
        <v>52-66398</v>
      </c>
      <c r="R95" s="2"/>
    </row>
    <row r="96" spans="1:19" ht="12.75" hidden="1" customHeight="1" x14ac:dyDescent="0.2">
      <c r="A96" s="342"/>
      <c r="B96" s="340"/>
      <c r="C96">
        <v>37685</v>
      </c>
      <c r="D96" s="340">
        <v>37.700000000000003</v>
      </c>
      <c r="E96">
        <v>43</v>
      </c>
      <c r="F96" t="s">
        <v>466</v>
      </c>
      <c r="G96" s="340">
        <f t="shared" si="15"/>
        <v>38.6</v>
      </c>
      <c r="H96" s="341">
        <f t="shared" si="15"/>
        <v>44</v>
      </c>
      <c r="I96" s="340" t="str">
        <f t="shared" si="15"/>
        <v>52-66400</v>
      </c>
      <c r="R96" s="2"/>
    </row>
    <row r="97" spans="1:18" ht="12.75" hidden="1" customHeight="1" x14ac:dyDescent="0.2">
      <c r="A97" s="342"/>
      <c r="B97" s="340"/>
      <c r="C97">
        <v>38607</v>
      </c>
      <c r="D97" s="340">
        <v>38.6</v>
      </c>
      <c r="E97">
        <v>44</v>
      </c>
      <c r="F97" t="s">
        <v>465</v>
      </c>
      <c r="G97" s="340">
        <f t="shared" si="15"/>
        <v>41</v>
      </c>
      <c r="H97" s="341">
        <f t="shared" si="15"/>
        <v>46</v>
      </c>
      <c r="I97" s="340" t="str">
        <f t="shared" si="15"/>
        <v>52-66407</v>
      </c>
      <c r="R97" s="2"/>
    </row>
    <row r="98" spans="1:18" ht="12.75" hidden="1" customHeight="1" x14ac:dyDescent="0.2">
      <c r="A98" s="342"/>
      <c r="B98" s="340"/>
      <c r="C98">
        <v>40971</v>
      </c>
      <c r="D98" s="340">
        <v>41</v>
      </c>
      <c r="E98">
        <v>46</v>
      </c>
      <c r="F98" t="s">
        <v>464</v>
      </c>
      <c r="G98" s="340">
        <f t="shared" si="15"/>
        <v>45</v>
      </c>
      <c r="H98" s="341">
        <f t="shared" si="15"/>
        <v>49</v>
      </c>
      <c r="I98" s="340" t="str">
        <f t="shared" si="15"/>
        <v>52-66407H</v>
      </c>
      <c r="R98" s="2"/>
    </row>
    <row r="99" spans="1:18" ht="12.75" hidden="1" customHeight="1" x14ac:dyDescent="0.2">
      <c r="A99" s="342"/>
      <c r="B99" s="340"/>
      <c r="C99">
        <v>45000</v>
      </c>
      <c r="D99" s="340">
        <v>45</v>
      </c>
      <c r="E99">
        <v>49</v>
      </c>
      <c r="F99" t="s">
        <v>463</v>
      </c>
      <c r="G99" s="340">
        <f>D99</f>
        <v>45</v>
      </c>
      <c r="H99" s="341">
        <f>E99</f>
        <v>49</v>
      </c>
      <c r="I99" s="340" t="str">
        <f>F99</f>
        <v>52-66407H</v>
      </c>
      <c r="R99" s="2"/>
    </row>
    <row r="100" spans="1:18" ht="12.75" customHeight="1" thickBot="1" x14ac:dyDescent="0.25">
      <c r="A100" s="339"/>
      <c r="B100" s="120"/>
      <c r="C100" s="120"/>
      <c r="D100" s="12"/>
      <c r="E100" s="12"/>
      <c r="F100" s="12"/>
      <c r="G100" s="12"/>
      <c r="H100" s="338"/>
      <c r="I100" s="12"/>
      <c r="J100" s="12"/>
      <c r="K100" s="12"/>
      <c r="L100" s="12"/>
      <c r="M100" s="12"/>
      <c r="N100" s="338"/>
      <c r="R100" s="2"/>
    </row>
    <row r="101" spans="1:18" ht="12.75" customHeight="1" thickTop="1" x14ac:dyDescent="0.2">
      <c r="A101" s="116" t="s">
        <v>60</v>
      </c>
      <c r="B101" s="115" t="s">
        <v>16</v>
      </c>
      <c r="C101" s="118" t="s">
        <v>63</v>
      </c>
      <c r="R101" s="2"/>
    </row>
    <row r="102" spans="1:18" ht="12.75" customHeight="1" x14ac:dyDescent="0.25">
      <c r="A102" s="117" t="s">
        <v>2</v>
      </c>
      <c r="B102" s="97" t="s">
        <v>19</v>
      </c>
      <c r="C102" s="20" t="s">
        <v>66</v>
      </c>
      <c r="L102" s="98"/>
      <c r="M102" s="99"/>
      <c r="N102" s="99"/>
      <c r="O102" s="99"/>
      <c r="P102" s="99"/>
      <c r="Q102" s="99"/>
      <c r="R102" s="2"/>
    </row>
    <row r="103" spans="1:18" ht="14.25" x14ac:dyDescent="0.2">
      <c r="A103" s="117" t="s">
        <v>10</v>
      </c>
      <c r="B103" s="100"/>
      <c r="C103" s="20"/>
      <c r="L103" s="99"/>
      <c r="M103" s="99"/>
      <c r="N103" s="99"/>
      <c r="O103" s="99"/>
      <c r="P103" s="99"/>
      <c r="Q103" s="99"/>
      <c r="R103" s="2"/>
    </row>
    <row r="104" spans="1:18" ht="15" x14ac:dyDescent="0.25">
      <c r="A104" s="101"/>
      <c r="B104" s="100"/>
      <c r="C104" s="102"/>
      <c r="L104" s="103"/>
      <c r="M104" s="103"/>
      <c r="N104" s="98"/>
      <c r="O104" s="98"/>
      <c r="P104" s="98"/>
      <c r="Q104" s="98"/>
      <c r="R104" s="2"/>
    </row>
    <row r="105" spans="1:18" ht="15" x14ac:dyDescent="0.25">
      <c r="A105" s="21">
        <v>50</v>
      </c>
      <c r="B105" s="104" t="s">
        <v>528</v>
      </c>
      <c r="C105" s="19">
        <v>1</v>
      </c>
      <c r="L105" s="103"/>
      <c r="M105" s="103"/>
      <c r="N105" s="103"/>
      <c r="O105" s="103"/>
      <c r="P105" s="103"/>
      <c r="Q105" s="98"/>
      <c r="R105" s="2"/>
    </row>
    <row r="106" spans="1:18" ht="15" x14ac:dyDescent="0.25">
      <c r="A106" s="117">
        <v>65</v>
      </c>
      <c r="B106" s="105" t="s">
        <v>528</v>
      </c>
      <c r="C106" s="20">
        <v>1</v>
      </c>
      <c r="L106" s="103"/>
      <c r="M106" s="103"/>
      <c r="N106" s="98"/>
      <c r="O106" s="98"/>
      <c r="P106" s="106"/>
      <c r="Q106" s="98"/>
      <c r="R106" s="2"/>
    </row>
    <row r="107" spans="1:18" ht="15" x14ac:dyDescent="0.25">
      <c r="A107" s="21">
        <v>80</v>
      </c>
      <c r="B107" s="104" t="s">
        <v>528</v>
      </c>
      <c r="C107" s="19">
        <v>1</v>
      </c>
      <c r="L107" s="103"/>
      <c r="M107" s="103"/>
      <c r="N107" s="98"/>
      <c r="O107" s="98"/>
      <c r="P107" s="107"/>
      <c r="Q107" s="98"/>
      <c r="R107" s="2"/>
    </row>
    <row r="108" spans="1:18" ht="15" x14ac:dyDescent="0.25">
      <c r="A108" s="117">
        <v>100</v>
      </c>
      <c r="B108" s="105" t="s">
        <v>529</v>
      </c>
      <c r="C108" s="20">
        <v>2</v>
      </c>
      <c r="L108" s="103"/>
      <c r="M108" s="103"/>
      <c r="N108" s="98"/>
      <c r="O108" s="98"/>
      <c r="P108" s="98"/>
      <c r="Q108" s="98"/>
      <c r="R108" s="2"/>
    </row>
    <row r="109" spans="1:18" ht="15" x14ac:dyDescent="0.25">
      <c r="A109" s="21">
        <v>125</v>
      </c>
      <c r="B109" s="104" t="s">
        <v>530</v>
      </c>
      <c r="C109" s="19">
        <v>3</v>
      </c>
      <c r="L109" s="106"/>
      <c r="M109" s="103"/>
      <c r="N109" s="108"/>
      <c r="O109" s="98"/>
      <c r="P109" s="109"/>
      <c r="Q109" s="98"/>
      <c r="R109" s="2"/>
    </row>
    <row r="110" spans="1:18" ht="15" x14ac:dyDescent="0.25">
      <c r="A110" s="117">
        <v>150</v>
      </c>
      <c r="B110" s="105" t="s">
        <v>531</v>
      </c>
      <c r="C110" s="20">
        <v>4</v>
      </c>
      <c r="L110" s="106"/>
      <c r="M110" s="103"/>
      <c r="N110" s="108"/>
      <c r="O110" s="98"/>
      <c r="P110" s="109"/>
      <c r="Q110" s="98"/>
      <c r="R110" s="2"/>
    </row>
    <row r="111" spans="1:18" ht="15" x14ac:dyDescent="0.25">
      <c r="A111" s="21">
        <v>200</v>
      </c>
      <c r="B111" s="104" t="s">
        <v>532</v>
      </c>
      <c r="C111" s="19">
        <v>7</v>
      </c>
      <c r="L111" s="110"/>
      <c r="M111" s="103"/>
      <c r="N111" s="98"/>
      <c r="O111" s="98"/>
      <c r="P111" s="98"/>
      <c r="Q111" s="98"/>
      <c r="R111" s="2"/>
    </row>
    <row r="112" spans="1:18" x14ac:dyDescent="0.2">
      <c r="A112" s="117">
        <v>250</v>
      </c>
      <c r="B112" s="105" t="s">
        <v>533</v>
      </c>
      <c r="C112" s="20">
        <v>12</v>
      </c>
      <c r="L112" s="9"/>
      <c r="M112" s="9"/>
      <c r="R112" s="2"/>
    </row>
    <row r="113" spans="1:18" x14ac:dyDescent="0.2">
      <c r="A113" s="21">
        <v>300</v>
      </c>
      <c r="B113" s="104" t="s">
        <v>534</v>
      </c>
      <c r="C113" s="19">
        <v>15</v>
      </c>
      <c r="L113" s="9"/>
      <c r="M113" s="9"/>
      <c r="R113" s="2"/>
    </row>
    <row r="114" spans="1:18" x14ac:dyDescent="0.2">
      <c r="A114" s="117">
        <v>350</v>
      </c>
      <c r="B114" s="105" t="s">
        <v>535</v>
      </c>
      <c r="C114" s="20">
        <v>19</v>
      </c>
      <c r="L114" s="9"/>
      <c r="M114" s="9"/>
      <c r="R114" s="2"/>
    </row>
    <row r="115" spans="1:18" x14ac:dyDescent="0.2">
      <c r="A115" s="21">
        <v>400</v>
      </c>
      <c r="B115" s="104" t="s">
        <v>536</v>
      </c>
      <c r="C115" s="19">
        <v>26</v>
      </c>
      <c r="L115" s="9"/>
      <c r="M115" s="9"/>
      <c r="R115" s="2"/>
    </row>
    <row r="116" spans="1:18" x14ac:dyDescent="0.2">
      <c r="A116" s="117">
        <v>450</v>
      </c>
      <c r="B116" s="105" t="s">
        <v>537</v>
      </c>
      <c r="C116" s="20">
        <v>33</v>
      </c>
      <c r="L116" s="9"/>
      <c r="M116" s="9"/>
      <c r="R116" s="2"/>
    </row>
    <row r="117" spans="1:18" x14ac:dyDescent="0.2">
      <c r="A117" s="21">
        <v>500</v>
      </c>
      <c r="B117" s="104" t="s">
        <v>538</v>
      </c>
      <c r="C117" s="19">
        <v>40</v>
      </c>
      <c r="R117" s="2"/>
    </row>
    <row r="118" spans="1:18" x14ac:dyDescent="0.2">
      <c r="A118" s="117">
        <v>600</v>
      </c>
      <c r="B118" s="105" t="s">
        <v>539</v>
      </c>
      <c r="C118" s="20">
        <v>56</v>
      </c>
      <c r="R118" s="2"/>
    </row>
    <row r="119" spans="1:18" x14ac:dyDescent="0.2">
      <c r="A119" s="21">
        <v>800</v>
      </c>
      <c r="B119" s="104" t="s">
        <v>540</v>
      </c>
      <c r="C119" s="19">
        <v>85</v>
      </c>
      <c r="R119" s="2"/>
    </row>
    <row r="120" spans="1:18" x14ac:dyDescent="0.2">
      <c r="A120" s="117">
        <v>900</v>
      </c>
      <c r="B120" s="105" t="s">
        <v>541</v>
      </c>
      <c r="C120" s="20">
        <v>112</v>
      </c>
      <c r="R120" s="2"/>
    </row>
    <row r="121" spans="1:18" ht="13.5" thickBot="1" x14ac:dyDescent="0.25">
      <c r="A121" s="337">
        <v>1000</v>
      </c>
      <c r="B121" s="336" t="s">
        <v>542</v>
      </c>
      <c r="C121" s="335">
        <v>136</v>
      </c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6"/>
    </row>
    <row r="122" spans="1:18" ht="13.5" thickTop="1" x14ac:dyDescent="0.2"/>
  </sheetData>
  <sheetProtection sheet="1" objects="1" scenarios="1"/>
  <mergeCells count="6">
    <mergeCell ref="B1:P1"/>
    <mergeCell ref="A2:R2"/>
    <mergeCell ref="N8:Q8"/>
    <mergeCell ref="C51:I51"/>
    <mergeCell ref="C52:F52"/>
    <mergeCell ref="G52:I52"/>
  </mergeCells>
  <pageMargins left="0.19685039370078741" right="0.19685039370078741" top="0.59055118110236227" bottom="0.19685039370078741" header="0.51181102362204722" footer="0.51181102362204722"/>
  <pageSetup paperSize="9" scale="94" orientation="landscape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H134"/>
  <sheetViews>
    <sheetView showGridLines="0" zoomScaleNormal="100" workbookViewId="0">
      <selection activeCell="X119" sqref="X119"/>
    </sheetView>
  </sheetViews>
  <sheetFormatPr defaultColWidth="11.42578125" defaultRowHeight="12.75" x14ac:dyDescent="0.2"/>
  <cols>
    <col min="1" max="1" width="8.28515625" customWidth="1"/>
    <col min="2" max="2" width="11.7109375" customWidth="1"/>
    <col min="3" max="3" width="11.7109375" bestFit="1" customWidth="1"/>
    <col min="4" max="4" width="8.28515625" customWidth="1"/>
    <col min="5" max="5" width="10.42578125" customWidth="1"/>
    <col min="6" max="7" width="10.7109375" customWidth="1"/>
    <col min="8" max="8" width="13.7109375" customWidth="1"/>
    <col min="9" max="9" width="8.140625" customWidth="1"/>
    <col min="10" max="10" width="8.7109375" customWidth="1"/>
    <col min="11" max="11" width="8.42578125" customWidth="1"/>
    <col min="12" max="12" width="9.7109375" customWidth="1"/>
    <col min="13" max="13" width="6.5703125" customWidth="1"/>
    <col min="14" max="14" width="4.7109375" hidden="1" customWidth="1"/>
    <col min="15" max="15" width="11.7109375" customWidth="1"/>
    <col min="16" max="17" width="8.7109375" customWidth="1"/>
    <col min="18" max="18" width="9.7109375" customWidth="1"/>
    <col min="19" max="19" width="8.7109375" customWidth="1"/>
    <col min="20" max="20" width="8.7109375" style="9" customWidth="1"/>
    <col min="21" max="21" width="8.7109375" customWidth="1"/>
    <col min="22" max="28" width="11.42578125" customWidth="1"/>
    <col min="29" max="29" width="12.85546875" bestFit="1" customWidth="1"/>
  </cols>
  <sheetData>
    <row r="1" spans="1:34" ht="21.75" thickTop="1" thickBot="1" x14ac:dyDescent="0.35">
      <c r="A1" s="18"/>
      <c r="B1" s="496" t="s">
        <v>120</v>
      </c>
      <c r="C1" s="496"/>
      <c r="D1" s="496"/>
      <c r="E1" s="496"/>
      <c r="F1" s="496"/>
      <c r="G1" s="496"/>
      <c r="H1" s="496"/>
      <c r="I1" s="496"/>
      <c r="J1" s="496"/>
      <c r="K1" s="496"/>
      <c r="L1" s="496"/>
      <c r="M1" s="496"/>
      <c r="N1" s="496"/>
      <c r="O1" s="496"/>
      <c r="P1" s="496"/>
      <c r="Q1" s="111"/>
      <c r="R1" s="23"/>
      <c r="S1" s="24"/>
      <c r="T1" s="24"/>
      <c r="U1" s="24"/>
      <c r="V1" s="24"/>
      <c r="W1" s="24"/>
      <c r="X1" s="24"/>
      <c r="Y1" s="24"/>
      <c r="Z1" s="24"/>
      <c r="AA1" s="24"/>
      <c r="AB1" s="24"/>
      <c r="AC1" s="24"/>
      <c r="AD1" s="24"/>
      <c r="AE1" s="24"/>
      <c r="AF1" s="24"/>
      <c r="AG1" s="24"/>
      <c r="AH1" s="24"/>
    </row>
    <row r="2" spans="1:34" ht="20.25" customHeight="1" thickTop="1" thickBot="1" x14ac:dyDescent="0.35">
      <c r="A2" s="548" t="s">
        <v>67</v>
      </c>
      <c r="B2" s="549"/>
      <c r="C2" s="549"/>
      <c r="D2" s="549"/>
      <c r="E2" s="549"/>
      <c r="F2" s="549"/>
      <c r="G2" s="549"/>
      <c r="H2" s="549"/>
      <c r="I2" s="549"/>
      <c r="J2" s="549"/>
      <c r="K2" s="549"/>
      <c r="L2" s="549"/>
      <c r="M2" s="549"/>
      <c r="N2" s="549"/>
      <c r="O2" s="549"/>
      <c r="P2" s="549"/>
      <c r="Q2" s="549"/>
      <c r="R2" s="550"/>
      <c r="S2" s="10"/>
    </row>
    <row r="3" spans="1:34" ht="14.25" thickTop="1" thickBot="1" x14ac:dyDescent="0.25">
      <c r="A3" s="3"/>
      <c r="D3" s="120"/>
      <c r="E3" s="120"/>
      <c r="F3" s="120"/>
      <c r="G3" s="120"/>
      <c r="H3" s="120"/>
      <c r="I3" s="17"/>
      <c r="J3" s="4"/>
      <c r="K3" s="16"/>
      <c r="L3" s="25"/>
      <c r="R3" s="2"/>
    </row>
    <row r="4" spans="1:34" ht="14.25" thickTop="1" thickBot="1" x14ac:dyDescent="0.25">
      <c r="A4" s="3"/>
      <c r="B4" s="17"/>
      <c r="D4" s="120" t="s">
        <v>1</v>
      </c>
      <c r="E4" s="120"/>
      <c r="F4" s="26" t="s">
        <v>64</v>
      </c>
      <c r="G4" s="27"/>
      <c r="H4" s="28"/>
      <c r="I4" s="29" t="s">
        <v>16</v>
      </c>
      <c r="J4" s="30" t="s">
        <v>13</v>
      </c>
      <c r="K4" s="28" t="s">
        <v>63</v>
      </c>
      <c r="L4" s="28" t="s">
        <v>5</v>
      </c>
      <c r="M4" s="31" t="s">
        <v>16</v>
      </c>
      <c r="N4" s="32"/>
      <c r="O4" s="28" t="s">
        <v>63</v>
      </c>
      <c r="P4" s="28" t="s">
        <v>55</v>
      </c>
      <c r="Q4" s="31" t="s">
        <v>16</v>
      </c>
      <c r="R4" s="33" t="s">
        <v>56</v>
      </c>
    </row>
    <row r="5" spans="1:34" ht="13.5" thickBot="1" x14ac:dyDescent="0.25">
      <c r="A5" s="7"/>
      <c r="B5" s="4" t="s">
        <v>3</v>
      </c>
      <c r="C5" s="34"/>
      <c r="D5" s="113">
        <v>4</v>
      </c>
      <c r="E5" s="4" t="s">
        <v>18</v>
      </c>
      <c r="F5" s="35" t="s">
        <v>54</v>
      </c>
      <c r="G5" s="36"/>
      <c r="H5" s="37"/>
      <c r="I5" s="38" t="s">
        <v>19</v>
      </c>
      <c r="J5" s="39" t="s">
        <v>9</v>
      </c>
      <c r="K5" s="40" t="s">
        <v>65</v>
      </c>
      <c r="L5" s="40"/>
      <c r="M5" s="41"/>
      <c r="N5" s="42"/>
      <c r="O5" s="40" t="s">
        <v>66</v>
      </c>
      <c r="P5" s="40"/>
      <c r="Q5" s="41"/>
      <c r="R5" s="43"/>
      <c r="S5" s="4"/>
      <c r="T5" s="44"/>
    </row>
    <row r="6" spans="1:34" x14ac:dyDescent="0.2">
      <c r="A6" s="119"/>
      <c r="B6" s="120"/>
      <c r="C6" s="12"/>
      <c r="D6" s="12"/>
      <c r="E6" s="45"/>
      <c r="F6" s="46" t="s">
        <v>57</v>
      </c>
      <c r="G6" s="47"/>
      <c r="H6" s="48"/>
      <c r="I6" s="49">
        <f>((VLOOKUP(($D$14),$A$30:$Q$44,9)))</f>
        <v>7.5</v>
      </c>
      <c r="J6" s="50">
        <f>((VLOOKUP(($D$14),$A$30:$Q$44,10)))</f>
        <v>47</v>
      </c>
      <c r="K6" s="51">
        <f>((VLOOKUP(($D$14),$A$30:$Q$44,11)))</f>
        <v>1</v>
      </c>
      <c r="L6" s="51" t="str">
        <f>((VLOOKUP(($D$14),$A$30:$Q$44,12)))</f>
        <v>58-65175</v>
      </c>
      <c r="M6" s="52">
        <f>((VLOOKUP(($D$14),$A$30:$Q$44,13)))</f>
        <v>7.5</v>
      </c>
      <c r="N6" s="50"/>
      <c r="O6" s="51">
        <f>((VLOOKUP(($D$14),$A$30:$Q$44,14)))</f>
        <v>0</v>
      </c>
      <c r="P6" s="51">
        <f>((VLOOKUP(($D$14),$A$30:$Q$44,16)))</f>
        <v>0</v>
      </c>
      <c r="Q6" s="52">
        <f>((VLOOKUP(($D$14),$A$30:$Q$41,17)))</f>
        <v>0</v>
      </c>
      <c r="R6" s="53">
        <f>((VLOOKUP(($D$14),$A$30:$R$44,18)))</f>
        <v>0.875</v>
      </c>
    </row>
    <row r="7" spans="1:34" x14ac:dyDescent="0.2">
      <c r="A7" s="119"/>
      <c r="B7" s="17" t="s">
        <v>78</v>
      </c>
      <c r="C7" s="12"/>
      <c r="D7" s="12"/>
      <c r="E7" s="45"/>
      <c r="F7" s="54"/>
      <c r="G7" s="55"/>
      <c r="H7" s="55"/>
      <c r="I7" s="55"/>
      <c r="J7" s="54"/>
      <c r="K7" s="55"/>
      <c r="L7" s="55"/>
      <c r="M7" s="56"/>
      <c r="N7" s="54"/>
      <c r="O7" s="55"/>
      <c r="P7" s="55"/>
      <c r="Q7" s="56"/>
      <c r="R7" s="56"/>
    </row>
    <row r="8" spans="1:34" ht="13.5" thickBot="1" x14ac:dyDescent="0.25">
      <c r="A8" s="119"/>
      <c r="B8" s="17" t="s">
        <v>79</v>
      </c>
      <c r="C8" s="120"/>
      <c r="D8" s="120"/>
      <c r="E8" s="45"/>
      <c r="F8" s="57" t="s">
        <v>58</v>
      </c>
      <c r="G8" s="58"/>
      <c r="H8" s="59"/>
      <c r="I8" s="60">
        <f>((VLOOKUP(($D$14),$A$30:$Q$44,4)))</f>
        <v>4</v>
      </c>
      <c r="J8" s="61">
        <f>((VLOOKUP(($D$14),$A$30:$Q$44,5)))</f>
        <v>47</v>
      </c>
      <c r="K8" s="62">
        <f>IF($M$8=0,0,I8/M8)</f>
        <v>1</v>
      </c>
      <c r="L8" s="63" t="str">
        <f>((VLOOKUP(($D$14),$A$30:$Q$44,6)))</f>
        <v>58-65120</v>
      </c>
      <c r="M8" s="64">
        <f>((VLOOKUP(($D$14),$A$30:$Q$44,7)))</f>
        <v>4</v>
      </c>
      <c r="N8" s="544"/>
      <c r="O8" s="545"/>
      <c r="P8" s="545"/>
      <c r="Q8" s="546"/>
      <c r="R8" s="65">
        <f>((VLOOKUP(($D$14),$A$30:$Q$44,8)))</f>
        <v>0</v>
      </c>
    </row>
    <row r="9" spans="1:34" ht="13.5" thickTop="1" x14ac:dyDescent="0.2">
      <c r="A9" s="119"/>
      <c r="B9" s="45" t="s">
        <v>80</v>
      </c>
      <c r="C9" s="120"/>
      <c r="D9" s="45"/>
      <c r="E9" s="45"/>
      <c r="F9" s="4"/>
      <c r="G9" s="12"/>
      <c r="I9" s="120"/>
      <c r="P9" s="4"/>
      <c r="R9" s="2"/>
    </row>
    <row r="10" spans="1:34" x14ac:dyDescent="0.2">
      <c r="A10" s="119"/>
      <c r="B10" s="17"/>
      <c r="C10" s="120"/>
      <c r="D10" s="45"/>
      <c r="E10" s="45"/>
      <c r="F10" s="4"/>
      <c r="G10" s="45"/>
      <c r="I10" s="45"/>
      <c r="K10" s="14"/>
      <c r="L10" s="14"/>
      <c r="N10" s="4"/>
      <c r="O10" s="44"/>
      <c r="R10" s="2"/>
      <c r="X10" s="10"/>
    </row>
    <row r="11" spans="1:34" x14ac:dyDescent="0.2">
      <c r="A11" s="119"/>
      <c r="B11" s="45"/>
      <c r="C11" s="120"/>
      <c r="D11" s="45"/>
      <c r="E11" s="45"/>
      <c r="F11" s="4"/>
      <c r="G11" s="12"/>
      <c r="I11" s="45"/>
      <c r="N11" s="4"/>
      <c r="O11" s="44"/>
      <c r="R11" s="2"/>
      <c r="X11" s="10"/>
    </row>
    <row r="12" spans="1:34" x14ac:dyDescent="0.2">
      <c r="A12" s="119"/>
      <c r="B12" s="17"/>
      <c r="C12" s="120"/>
      <c r="D12" s="45"/>
      <c r="E12" s="45"/>
      <c r="F12" s="4"/>
      <c r="G12" s="12"/>
      <c r="I12" s="45"/>
      <c r="N12" s="4"/>
      <c r="O12" s="44"/>
      <c r="R12" s="2"/>
      <c r="X12" s="10"/>
    </row>
    <row r="13" spans="1:34" ht="13.5" thickBot="1" x14ac:dyDescent="0.25">
      <c r="A13" s="119"/>
      <c r="B13" s="45" t="s">
        <v>61</v>
      </c>
      <c r="C13" s="12"/>
      <c r="D13" s="12"/>
      <c r="E13" s="45"/>
      <c r="F13" s="4"/>
      <c r="G13" s="12"/>
      <c r="I13" s="45"/>
      <c r="N13" s="4"/>
      <c r="O13" s="44"/>
      <c r="R13" s="2"/>
      <c r="X13" s="10"/>
    </row>
    <row r="14" spans="1:34" ht="13.5" thickBot="1" x14ac:dyDescent="0.25">
      <c r="A14" s="119"/>
      <c r="B14" s="120" t="s">
        <v>59</v>
      </c>
      <c r="C14" s="120"/>
      <c r="D14" s="112">
        <v>90</v>
      </c>
      <c r="E14" s="45"/>
      <c r="F14" s="4"/>
      <c r="G14" s="12"/>
      <c r="I14" s="45"/>
      <c r="N14" s="4"/>
      <c r="O14" s="44"/>
      <c r="R14" s="2"/>
      <c r="X14" s="10"/>
    </row>
    <row r="15" spans="1:34" ht="13.5" thickBot="1" x14ac:dyDescent="0.25">
      <c r="A15" s="119"/>
      <c r="B15" s="17"/>
      <c r="C15" s="120"/>
      <c r="D15" s="45"/>
      <c r="E15" s="45"/>
      <c r="F15" s="4"/>
      <c r="G15" s="12"/>
      <c r="I15" s="45"/>
      <c r="N15" s="4"/>
      <c r="O15" s="44"/>
      <c r="R15" s="2"/>
      <c r="X15" s="10"/>
    </row>
    <row r="16" spans="1:34" ht="14.25" thickTop="1" thickBot="1" x14ac:dyDescent="0.25">
      <c r="A16" s="119"/>
      <c r="B16" s="17" t="s">
        <v>62</v>
      </c>
      <c r="C16" s="120"/>
      <c r="D16" s="66" t="str">
        <f>VLOOKUP($D$14,$K$78:$L$89,2)</f>
        <v>58-9093</v>
      </c>
      <c r="E16" s="67"/>
      <c r="F16" s="4"/>
      <c r="G16" s="12"/>
      <c r="I16" s="45"/>
      <c r="N16" s="4"/>
      <c r="O16" s="44"/>
      <c r="R16" s="2"/>
      <c r="X16" s="10"/>
    </row>
    <row r="17" spans="1:24" ht="13.5" thickTop="1" x14ac:dyDescent="0.2">
      <c r="A17" s="119"/>
      <c r="B17" s="45"/>
      <c r="C17" s="120"/>
      <c r="D17" s="45"/>
      <c r="E17" s="45"/>
      <c r="F17" s="4"/>
      <c r="G17" s="12"/>
      <c r="I17" s="45"/>
      <c r="N17" s="4"/>
      <c r="O17" s="44"/>
      <c r="R17" s="2"/>
      <c r="X17" s="10"/>
    </row>
    <row r="18" spans="1:24" x14ac:dyDescent="0.2">
      <c r="A18" s="119"/>
      <c r="B18" s="45"/>
      <c r="C18" s="120"/>
      <c r="D18" s="45"/>
      <c r="E18" s="45"/>
      <c r="F18" s="4"/>
      <c r="G18" s="12"/>
      <c r="I18" s="45"/>
      <c r="N18" s="4"/>
      <c r="O18" s="44"/>
      <c r="R18" s="2"/>
      <c r="X18" s="10"/>
    </row>
    <row r="19" spans="1:24" x14ac:dyDescent="0.2">
      <c r="A19" s="119"/>
      <c r="B19" s="45"/>
      <c r="C19" s="120"/>
      <c r="D19" s="45"/>
      <c r="E19" s="45"/>
      <c r="F19" s="4"/>
      <c r="G19" s="12"/>
      <c r="I19" s="45"/>
      <c r="N19" s="4"/>
      <c r="O19" s="44"/>
      <c r="R19" s="2"/>
      <c r="X19" s="10"/>
    </row>
    <row r="20" spans="1:24" x14ac:dyDescent="0.2">
      <c r="A20" s="119"/>
      <c r="B20" s="17"/>
      <c r="C20" s="17"/>
      <c r="D20" s="17"/>
      <c r="E20" s="17"/>
      <c r="F20" s="17"/>
      <c r="G20" s="12"/>
      <c r="I20" s="45"/>
      <c r="N20" s="4"/>
      <c r="O20" s="44"/>
      <c r="R20" s="2"/>
      <c r="X20" s="10"/>
    </row>
    <row r="21" spans="1:24" x14ac:dyDescent="0.2">
      <c r="A21" s="119"/>
      <c r="B21" s="17"/>
      <c r="C21" s="17"/>
      <c r="D21" s="17"/>
      <c r="E21" s="17"/>
      <c r="F21" s="17"/>
      <c r="G21" s="12"/>
      <c r="I21" s="45"/>
      <c r="N21" s="4"/>
      <c r="O21" s="44"/>
      <c r="R21" s="2"/>
      <c r="X21" s="10"/>
    </row>
    <row r="22" spans="1:24" x14ac:dyDescent="0.2">
      <c r="A22" s="119"/>
      <c r="B22" s="17"/>
      <c r="C22" s="17"/>
      <c r="D22" s="17"/>
      <c r="E22" s="17"/>
      <c r="F22" s="17"/>
      <c r="G22" s="12"/>
      <c r="I22" s="45"/>
      <c r="N22" s="4"/>
      <c r="O22" s="44"/>
      <c r="R22" s="2"/>
      <c r="X22" s="10"/>
    </row>
    <row r="23" spans="1:24" x14ac:dyDescent="0.2">
      <c r="A23" s="119"/>
      <c r="B23" s="17"/>
      <c r="C23" s="17"/>
      <c r="D23" s="17"/>
      <c r="E23" s="17"/>
      <c r="F23" s="17"/>
      <c r="G23" s="12"/>
      <c r="I23" s="45"/>
      <c r="N23" s="4"/>
      <c r="O23" s="44"/>
      <c r="R23" s="2"/>
      <c r="X23" s="10"/>
    </row>
    <row r="24" spans="1:24" ht="13.5" thickBot="1" x14ac:dyDescent="0.25">
      <c r="A24" s="119"/>
      <c r="B24" s="120"/>
      <c r="C24" s="120"/>
      <c r="D24" s="45"/>
      <c r="E24" s="45"/>
      <c r="F24" s="4"/>
      <c r="G24" s="12"/>
      <c r="I24" s="45"/>
      <c r="R24" s="2"/>
      <c r="X24" s="11"/>
    </row>
    <row r="25" spans="1:24" ht="12.75" hidden="1" customHeight="1" x14ac:dyDescent="0.2">
      <c r="A25" s="7"/>
      <c r="B25" s="4"/>
      <c r="C25" s="14"/>
      <c r="D25" s="68" t="s">
        <v>20</v>
      </c>
      <c r="E25" s="68"/>
      <c r="F25" s="68"/>
      <c r="G25" s="68"/>
      <c r="H25" s="68"/>
      <c r="I25" s="68" t="s">
        <v>21</v>
      </c>
      <c r="J25" s="68"/>
      <c r="K25" s="68"/>
      <c r="L25" s="68"/>
      <c r="M25" s="68"/>
      <c r="N25" s="68"/>
      <c r="O25" s="69"/>
      <c r="P25" s="69"/>
      <c r="Q25" s="69"/>
      <c r="R25" s="70"/>
      <c r="S25" s="4"/>
      <c r="X25" s="71"/>
    </row>
    <row r="26" spans="1:24" ht="12.75" hidden="1" customHeight="1" x14ac:dyDescent="0.2">
      <c r="A26" s="119" t="s">
        <v>15</v>
      </c>
      <c r="B26" s="120" t="s">
        <v>22</v>
      </c>
      <c r="C26" s="120" t="s">
        <v>23</v>
      </c>
      <c r="D26" s="68" t="s">
        <v>24</v>
      </c>
      <c r="E26" s="68" t="s">
        <v>25</v>
      </c>
      <c r="F26" s="72" t="s">
        <v>12</v>
      </c>
      <c r="G26" s="72" t="s">
        <v>26</v>
      </c>
      <c r="H26" s="72" t="s">
        <v>27</v>
      </c>
      <c r="I26" s="68" t="s">
        <v>26</v>
      </c>
      <c r="J26" s="68" t="s">
        <v>13</v>
      </c>
      <c r="K26" s="72" t="s">
        <v>23</v>
      </c>
      <c r="L26" s="72" t="s">
        <v>12</v>
      </c>
      <c r="M26" s="72" t="s">
        <v>14</v>
      </c>
      <c r="N26" s="73" t="s">
        <v>28</v>
      </c>
      <c r="O26" s="72" t="s">
        <v>29</v>
      </c>
      <c r="P26" s="72" t="s">
        <v>12</v>
      </c>
      <c r="Q26" s="72" t="s">
        <v>14</v>
      </c>
      <c r="R26" s="74" t="s">
        <v>27</v>
      </c>
      <c r="X26" s="11"/>
    </row>
    <row r="27" spans="1:24" ht="12.75" hidden="1" customHeight="1" x14ac:dyDescent="0.2">
      <c r="A27" s="119" t="s">
        <v>2</v>
      </c>
      <c r="B27" s="120" t="s">
        <v>19</v>
      </c>
      <c r="C27" s="120" t="s">
        <v>30</v>
      </c>
      <c r="D27" s="68" t="s">
        <v>19</v>
      </c>
      <c r="E27" s="68" t="s">
        <v>9</v>
      </c>
      <c r="F27" s="72"/>
      <c r="G27" s="72" t="s">
        <v>19</v>
      </c>
      <c r="H27" s="72" t="s">
        <v>31</v>
      </c>
      <c r="I27" s="68" t="s">
        <v>19</v>
      </c>
      <c r="J27" s="68" t="s">
        <v>9</v>
      </c>
      <c r="K27" s="72" t="s">
        <v>30</v>
      </c>
      <c r="L27" s="72"/>
      <c r="M27" s="72" t="s">
        <v>11</v>
      </c>
      <c r="N27" s="73" t="s">
        <v>32</v>
      </c>
      <c r="O27" s="72" t="s">
        <v>24</v>
      </c>
      <c r="P27" s="72"/>
      <c r="Q27" s="72" t="s">
        <v>11</v>
      </c>
      <c r="R27" s="74" t="s">
        <v>31</v>
      </c>
      <c r="U27" s="75"/>
    </row>
    <row r="28" spans="1:24" ht="12.75" hidden="1" customHeight="1" x14ac:dyDescent="0.2">
      <c r="A28" s="119" t="s">
        <v>10</v>
      </c>
      <c r="B28" s="122"/>
      <c r="C28" s="120"/>
      <c r="D28" s="76" t="s">
        <v>33</v>
      </c>
      <c r="E28" s="68"/>
      <c r="F28" s="72" t="s">
        <v>17</v>
      </c>
      <c r="G28" s="72" t="s">
        <v>17</v>
      </c>
      <c r="H28" s="72"/>
      <c r="I28" s="76" t="s">
        <v>34</v>
      </c>
      <c r="J28" s="68"/>
      <c r="K28" s="72"/>
      <c r="L28" s="72" t="s">
        <v>17</v>
      </c>
      <c r="M28" s="72" t="s">
        <v>35</v>
      </c>
      <c r="N28" s="73"/>
      <c r="O28" s="72" t="s">
        <v>19</v>
      </c>
      <c r="P28" s="72" t="s">
        <v>17</v>
      </c>
      <c r="Q28" s="72" t="s">
        <v>35</v>
      </c>
      <c r="R28" s="74"/>
      <c r="U28" s="75"/>
      <c r="X28" s="11"/>
    </row>
    <row r="29" spans="1:24" ht="12.75" hidden="1" customHeight="1" x14ac:dyDescent="0.2">
      <c r="A29" s="77"/>
      <c r="B29" s="122"/>
      <c r="C29" s="122"/>
      <c r="D29" s="120"/>
      <c r="E29" s="120"/>
      <c r="F29" s="120"/>
      <c r="G29" s="120"/>
      <c r="H29" s="120"/>
      <c r="I29" s="120"/>
      <c r="J29" s="120"/>
      <c r="K29" s="120"/>
      <c r="L29" s="120"/>
      <c r="M29" s="120"/>
      <c r="N29" s="78"/>
      <c r="O29" s="120"/>
      <c r="Q29" s="120"/>
      <c r="R29" s="2"/>
      <c r="U29" s="75"/>
    </row>
    <row r="30" spans="1:24" ht="12.75" hidden="1" customHeight="1" x14ac:dyDescent="0.2">
      <c r="A30" s="79">
        <v>50</v>
      </c>
      <c r="B30" s="104" t="s">
        <v>68</v>
      </c>
      <c r="C30" s="19">
        <v>1</v>
      </c>
      <c r="D30" s="82">
        <f t="shared" ref="D30:D44" si="0">IF($D$5/$C30&lt;4,D29,VLOOKUP(($D$5/$C30),$D$53:$F$80,1)*$C30)</f>
        <v>4</v>
      </c>
      <c r="E30" s="83">
        <f t="shared" ref="E30:E44" si="1">IF($D$5/$C30&lt;4,E29,VLOOKUP(($D$5/$C30),$D$53:$F$80,2))</f>
        <v>47</v>
      </c>
      <c r="F30" s="84" t="str">
        <f t="shared" ref="F30:F44" si="2">IF($D$5/$C30&lt;3.8,F29,VLOOKUP(($D$5/$C30),$D$53:$F$80,3))</f>
        <v>58-65120</v>
      </c>
      <c r="G30" s="85">
        <f t="shared" ref="G30:G44" si="3">IF($D$5/$C30&lt;4,G29,VLOOKUP(($D$5/$C30),$D$53:$F$80,1))</f>
        <v>4</v>
      </c>
      <c r="H30" s="86">
        <f t="shared" ref="H30:H44" si="4">D30/$D$5-1</f>
        <v>0</v>
      </c>
      <c r="I30" s="87">
        <f t="shared" ref="I30:I44" si="5">$K30*M30+$N30*Q30</f>
        <v>7.5</v>
      </c>
      <c r="J30" s="88">
        <f>VLOOKUP(($D$5/$C30),$D$53:$I$80,5)</f>
        <v>47</v>
      </c>
      <c r="K30" s="89">
        <f>C30</f>
        <v>1</v>
      </c>
      <c r="L30" s="89" t="str">
        <f>VLOOKUP(($D$5/$C30),$D$53:$I$80,6)</f>
        <v>58-65175</v>
      </c>
      <c r="M30" s="90">
        <f>VLOOKUP(($D$5/$C30),$D$53:$H$80,4)</f>
        <v>7.5</v>
      </c>
      <c r="N30" s="73">
        <v>0</v>
      </c>
      <c r="O30" s="91">
        <f>($D$5-(K30*M30))</f>
        <v>-3.5</v>
      </c>
      <c r="P30" s="72">
        <v>0</v>
      </c>
      <c r="Q30" s="92">
        <v>0</v>
      </c>
      <c r="R30" s="93">
        <f t="shared" ref="R30:R44" si="6">I30/$D$5-1</f>
        <v>0.875</v>
      </c>
      <c r="T30" s="75"/>
      <c r="U30" s="75"/>
    </row>
    <row r="31" spans="1:24" ht="12.75" hidden="1" customHeight="1" x14ac:dyDescent="0.2">
      <c r="A31" s="119">
        <v>65</v>
      </c>
      <c r="B31" s="105" t="s">
        <v>68</v>
      </c>
      <c r="C31" s="20">
        <v>1</v>
      </c>
      <c r="D31" s="82">
        <f t="shared" si="0"/>
        <v>4</v>
      </c>
      <c r="E31" s="83">
        <f t="shared" si="1"/>
        <v>47</v>
      </c>
      <c r="F31" s="84" t="str">
        <f t="shared" si="2"/>
        <v>58-65120</v>
      </c>
      <c r="G31" s="85">
        <f t="shared" si="3"/>
        <v>4</v>
      </c>
      <c r="H31" s="86">
        <f t="shared" si="4"/>
        <v>0</v>
      </c>
      <c r="I31" s="87">
        <f t="shared" si="5"/>
        <v>7.5</v>
      </c>
      <c r="J31" s="88">
        <f>VLOOKUP(($D$5/$C31),$D$53:$I$80,5)</f>
        <v>47</v>
      </c>
      <c r="K31" s="89">
        <f>C31</f>
        <v>1</v>
      </c>
      <c r="L31" s="89" t="str">
        <f>VLOOKUP(($D$5/$C31),$D$53:$I$80,6)</f>
        <v>58-65175</v>
      </c>
      <c r="M31" s="90">
        <f>VLOOKUP(($D$5/$C31),$D$53:$I$80,4)</f>
        <v>7.5</v>
      </c>
      <c r="N31" s="73">
        <v>0</v>
      </c>
      <c r="O31" s="91">
        <f>($D$5-(K31*M31))</f>
        <v>-3.5</v>
      </c>
      <c r="P31" s="72">
        <v>0</v>
      </c>
      <c r="Q31" s="92">
        <v>0</v>
      </c>
      <c r="R31" s="93">
        <f t="shared" si="6"/>
        <v>0.875</v>
      </c>
      <c r="S31" s="10"/>
      <c r="U31" s="75"/>
    </row>
    <row r="32" spans="1:24" ht="12.75" hidden="1" customHeight="1" x14ac:dyDescent="0.2">
      <c r="A32" s="79">
        <v>80</v>
      </c>
      <c r="B32" s="104" t="s">
        <v>68</v>
      </c>
      <c r="C32" s="19">
        <v>1</v>
      </c>
      <c r="D32" s="82">
        <f t="shared" si="0"/>
        <v>4</v>
      </c>
      <c r="E32" s="83">
        <f t="shared" si="1"/>
        <v>47</v>
      </c>
      <c r="F32" s="84" t="str">
        <f t="shared" si="2"/>
        <v>58-65120</v>
      </c>
      <c r="G32" s="85">
        <f t="shared" si="3"/>
        <v>4</v>
      </c>
      <c r="H32" s="86">
        <f t="shared" si="4"/>
        <v>0</v>
      </c>
      <c r="I32" s="87">
        <f t="shared" si="5"/>
        <v>7.5</v>
      </c>
      <c r="J32" s="88">
        <f>VLOOKUP(($D$5/$C32),$D$53:$I$80,5)</f>
        <v>47</v>
      </c>
      <c r="K32" s="89">
        <f>C32</f>
        <v>1</v>
      </c>
      <c r="L32" s="89" t="str">
        <f>VLOOKUP(($D$5/$C32),$D$53:$I$80,6)</f>
        <v>58-65175</v>
      </c>
      <c r="M32" s="90">
        <f>VLOOKUP(($D$5/$C32),$D$53:$I$80,4)</f>
        <v>7.5</v>
      </c>
      <c r="N32" s="73">
        <v>0</v>
      </c>
      <c r="O32" s="91">
        <f>($D$5-(K32*M32))</f>
        <v>-3.5</v>
      </c>
      <c r="P32" s="72">
        <v>0</v>
      </c>
      <c r="Q32" s="92">
        <v>0</v>
      </c>
      <c r="R32" s="93">
        <f t="shared" si="6"/>
        <v>0.875</v>
      </c>
      <c r="S32" s="10"/>
    </row>
    <row r="33" spans="1:23" hidden="1" x14ac:dyDescent="0.2">
      <c r="A33" s="119">
        <v>100</v>
      </c>
      <c r="B33" s="105" t="s">
        <v>69</v>
      </c>
      <c r="C33" s="20">
        <v>2</v>
      </c>
      <c r="D33" s="82">
        <f t="shared" si="0"/>
        <v>4</v>
      </c>
      <c r="E33" s="83">
        <f t="shared" si="1"/>
        <v>47</v>
      </c>
      <c r="F33" s="84" t="str">
        <f t="shared" si="2"/>
        <v>58-65120</v>
      </c>
      <c r="G33" s="85">
        <f t="shared" si="3"/>
        <v>4</v>
      </c>
      <c r="H33" s="86">
        <f t="shared" si="4"/>
        <v>0</v>
      </c>
      <c r="I33" s="87">
        <f t="shared" si="5"/>
        <v>7.5</v>
      </c>
      <c r="J33" s="95">
        <f t="shared" ref="J33:J44" si="7">IF($D$5/$C33&lt;3.8,J32,VLOOKUP(($D$5/$C33),$D$53:$I$80,5))</f>
        <v>47</v>
      </c>
      <c r="K33" s="73">
        <f t="shared" ref="K33:K44" si="8">IF($D$5/$C33&lt;4,K32,(IF($M$94&gt;C33,C33,$M$94)))</f>
        <v>1</v>
      </c>
      <c r="L33" s="90" t="str">
        <f t="shared" ref="L33:L44" si="9">IF($D$5/$C33&lt;3.8,L32,VLOOKUP(($D$5/$C33),$D$53:$I$80,6))</f>
        <v>58-65175</v>
      </c>
      <c r="M33" s="90">
        <f t="shared" ref="M33:M44" si="10">IF($D$5/$C33&lt;4,M32,VLOOKUP(($D$5/$C33),$D$53:$I$80,4))</f>
        <v>7.5</v>
      </c>
      <c r="N33" s="73">
        <f t="shared" ref="N33:N44" si="11">IF($D$5/$C33&lt;4,N32,C33-K33)</f>
        <v>0</v>
      </c>
      <c r="O33" s="91">
        <f t="shared" ref="O33:O44" si="12">($D$5-(K33*M33))</f>
        <v>-3.5</v>
      </c>
      <c r="P33" s="72">
        <f t="shared" ref="P33:P44" si="13">IF($O33&lt;0,P32,((VLOOKUP(($O33),$D$53:$I$111,6))))</f>
        <v>0</v>
      </c>
      <c r="Q33" s="92">
        <f t="shared" ref="Q33:Q44" si="14">IF($O33&lt;0,Q32,((VLOOKUP(($O33/(C33-K33+0.001)),$D$53:$I$111,4))))</f>
        <v>0</v>
      </c>
      <c r="R33" s="93">
        <f t="shared" si="6"/>
        <v>0.875</v>
      </c>
      <c r="S33" s="11"/>
    </row>
    <row r="34" spans="1:23" hidden="1" x14ac:dyDescent="0.2">
      <c r="A34" s="79">
        <v>125</v>
      </c>
      <c r="B34" s="104" t="s">
        <v>70</v>
      </c>
      <c r="C34" s="19">
        <v>3</v>
      </c>
      <c r="D34" s="82">
        <f t="shared" si="0"/>
        <v>4</v>
      </c>
      <c r="E34" s="83">
        <f t="shared" si="1"/>
        <v>47</v>
      </c>
      <c r="F34" s="84" t="str">
        <f t="shared" si="2"/>
        <v>58-65120</v>
      </c>
      <c r="G34" s="85">
        <f t="shared" si="3"/>
        <v>4</v>
      </c>
      <c r="H34" s="86">
        <f t="shared" si="4"/>
        <v>0</v>
      </c>
      <c r="I34" s="87">
        <f t="shared" si="5"/>
        <v>7.5</v>
      </c>
      <c r="J34" s="95">
        <f t="shared" si="7"/>
        <v>47</v>
      </c>
      <c r="K34" s="73">
        <f t="shared" si="8"/>
        <v>1</v>
      </c>
      <c r="L34" s="90" t="str">
        <f t="shared" si="9"/>
        <v>58-65175</v>
      </c>
      <c r="M34" s="90">
        <f t="shared" si="10"/>
        <v>7.5</v>
      </c>
      <c r="N34" s="73">
        <f t="shared" si="11"/>
        <v>0</v>
      </c>
      <c r="O34" s="91">
        <f t="shared" si="12"/>
        <v>-3.5</v>
      </c>
      <c r="P34" s="72">
        <f t="shared" si="13"/>
        <v>0</v>
      </c>
      <c r="Q34" s="92">
        <f t="shared" si="14"/>
        <v>0</v>
      </c>
      <c r="R34" s="93">
        <f t="shared" si="6"/>
        <v>0.875</v>
      </c>
      <c r="S34" s="71"/>
    </row>
    <row r="35" spans="1:23" hidden="1" x14ac:dyDescent="0.2">
      <c r="A35" s="119">
        <v>150</v>
      </c>
      <c r="B35" s="105" t="s">
        <v>71</v>
      </c>
      <c r="C35" s="20">
        <v>4</v>
      </c>
      <c r="D35" s="82">
        <f t="shared" si="0"/>
        <v>4</v>
      </c>
      <c r="E35" s="83">
        <f t="shared" si="1"/>
        <v>47</v>
      </c>
      <c r="F35" s="84" t="str">
        <f t="shared" si="2"/>
        <v>58-65120</v>
      </c>
      <c r="G35" s="85">
        <f t="shared" si="3"/>
        <v>4</v>
      </c>
      <c r="H35" s="86">
        <f t="shared" si="4"/>
        <v>0</v>
      </c>
      <c r="I35" s="87">
        <f t="shared" si="5"/>
        <v>7.5</v>
      </c>
      <c r="J35" s="95">
        <f t="shared" si="7"/>
        <v>47</v>
      </c>
      <c r="K35" s="73">
        <f t="shared" si="8"/>
        <v>1</v>
      </c>
      <c r="L35" s="90" t="str">
        <f t="shared" si="9"/>
        <v>58-65175</v>
      </c>
      <c r="M35" s="90">
        <f t="shared" si="10"/>
        <v>7.5</v>
      </c>
      <c r="N35" s="73">
        <f t="shared" si="11"/>
        <v>0</v>
      </c>
      <c r="O35" s="91">
        <f t="shared" si="12"/>
        <v>-3.5</v>
      </c>
      <c r="P35" s="72">
        <f t="shared" si="13"/>
        <v>0</v>
      </c>
      <c r="Q35" s="92">
        <f t="shared" si="14"/>
        <v>0</v>
      </c>
      <c r="R35" s="93">
        <f t="shared" si="6"/>
        <v>0.875</v>
      </c>
      <c r="S35" s="11"/>
    </row>
    <row r="36" spans="1:23" hidden="1" x14ac:dyDescent="0.2">
      <c r="A36" s="79">
        <v>200</v>
      </c>
      <c r="B36" s="104" t="s">
        <v>72</v>
      </c>
      <c r="C36" s="19">
        <v>7</v>
      </c>
      <c r="D36" s="82">
        <f t="shared" si="0"/>
        <v>4</v>
      </c>
      <c r="E36" s="83">
        <f t="shared" si="1"/>
        <v>47</v>
      </c>
      <c r="F36" s="84" t="str">
        <f t="shared" si="2"/>
        <v>58-65120</v>
      </c>
      <c r="G36" s="85">
        <f t="shared" si="3"/>
        <v>4</v>
      </c>
      <c r="H36" s="86">
        <f t="shared" si="4"/>
        <v>0</v>
      </c>
      <c r="I36" s="87">
        <f t="shared" si="5"/>
        <v>7.5</v>
      </c>
      <c r="J36" s="95">
        <f t="shared" si="7"/>
        <v>47</v>
      </c>
      <c r="K36" s="73">
        <f t="shared" si="8"/>
        <v>1</v>
      </c>
      <c r="L36" s="90" t="str">
        <f t="shared" si="9"/>
        <v>58-65175</v>
      </c>
      <c r="M36" s="90">
        <f t="shared" si="10"/>
        <v>7.5</v>
      </c>
      <c r="N36" s="73">
        <f t="shared" si="11"/>
        <v>0</v>
      </c>
      <c r="O36" s="91">
        <f t="shared" si="12"/>
        <v>-3.5</v>
      </c>
      <c r="P36" s="72">
        <f t="shared" si="13"/>
        <v>0</v>
      </c>
      <c r="Q36" s="92">
        <f t="shared" si="14"/>
        <v>0</v>
      </c>
      <c r="R36" s="93">
        <f t="shared" si="6"/>
        <v>0.875</v>
      </c>
    </row>
    <row r="37" spans="1:23" hidden="1" x14ac:dyDescent="0.2">
      <c r="A37" s="119">
        <v>250</v>
      </c>
      <c r="B37" s="105" t="s">
        <v>73</v>
      </c>
      <c r="C37" s="20">
        <v>12</v>
      </c>
      <c r="D37" s="82">
        <f t="shared" si="0"/>
        <v>4</v>
      </c>
      <c r="E37" s="83">
        <f t="shared" si="1"/>
        <v>47</v>
      </c>
      <c r="F37" s="84" t="str">
        <f t="shared" si="2"/>
        <v>58-65120</v>
      </c>
      <c r="G37" s="85">
        <f t="shared" si="3"/>
        <v>4</v>
      </c>
      <c r="H37" s="86">
        <f t="shared" si="4"/>
        <v>0</v>
      </c>
      <c r="I37" s="87">
        <f t="shared" si="5"/>
        <v>7.5</v>
      </c>
      <c r="J37" s="95">
        <f t="shared" si="7"/>
        <v>47</v>
      </c>
      <c r="K37" s="73">
        <f t="shared" si="8"/>
        <v>1</v>
      </c>
      <c r="L37" s="90" t="str">
        <f t="shared" si="9"/>
        <v>58-65175</v>
      </c>
      <c r="M37" s="90">
        <f t="shared" si="10"/>
        <v>7.5</v>
      </c>
      <c r="N37" s="73">
        <f t="shared" si="11"/>
        <v>0</v>
      </c>
      <c r="O37" s="91">
        <f t="shared" si="12"/>
        <v>-3.5</v>
      </c>
      <c r="P37" s="72">
        <f t="shared" si="13"/>
        <v>0</v>
      </c>
      <c r="Q37" s="92">
        <f t="shared" si="14"/>
        <v>0</v>
      </c>
      <c r="R37" s="93">
        <f t="shared" si="6"/>
        <v>0.875</v>
      </c>
      <c r="S37" s="11"/>
    </row>
    <row r="38" spans="1:23" hidden="1" x14ac:dyDescent="0.2">
      <c r="A38" s="79">
        <v>300</v>
      </c>
      <c r="B38" s="104" t="s">
        <v>74</v>
      </c>
      <c r="C38" s="19">
        <v>15</v>
      </c>
      <c r="D38" s="82">
        <f t="shared" si="0"/>
        <v>4</v>
      </c>
      <c r="E38" s="83">
        <f t="shared" si="1"/>
        <v>47</v>
      </c>
      <c r="F38" s="84" t="str">
        <f t="shared" si="2"/>
        <v>58-65120</v>
      </c>
      <c r="G38" s="85">
        <f t="shared" si="3"/>
        <v>4</v>
      </c>
      <c r="H38" s="86">
        <f t="shared" si="4"/>
        <v>0</v>
      </c>
      <c r="I38" s="87">
        <f t="shared" si="5"/>
        <v>7.5</v>
      </c>
      <c r="J38" s="95">
        <f t="shared" si="7"/>
        <v>47</v>
      </c>
      <c r="K38" s="73">
        <f t="shared" si="8"/>
        <v>1</v>
      </c>
      <c r="L38" s="90" t="str">
        <f t="shared" si="9"/>
        <v>58-65175</v>
      </c>
      <c r="M38" s="90">
        <f t="shared" si="10"/>
        <v>7.5</v>
      </c>
      <c r="N38" s="73">
        <f t="shared" si="11"/>
        <v>0</v>
      </c>
      <c r="O38" s="91">
        <f t="shared" si="12"/>
        <v>-3.5</v>
      </c>
      <c r="P38" s="72">
        <f t="shared" si="13"/>
        <v>0</v>
      </c>
      <c r="Q38" s="92">
        <f t="shared" si="14"/>
        <v>0</v>
      </c>
      <c r="R38" s="93">
        <f t="shared" si="6"/>
        <v>0.875</v>
      </c>
      <c r="S38" s="71"/>
    </row>
    <row r="39" spans="1:23" hidden="1" x14ac:dyDescent="0.2">
      <c r="A39" s="119">
        <v>350</v>
      </c>
      <c r="B39" s="105" t="s">
        <v>75</v>
      </c>
      <c r="C39" s="20">
        <v>19</v>
      </c>
      <c r="D39" s="82">
        <f t="shared" si="0"/>
        <v>4</v>
      </c>
      <c r="E39" s="83">
        <f t="shared" si="1"/>
        <v>47</v>
      </c>
      <c r="F39" s="84" t="str">
        <f t="shared" si="2"/>
        <v>58-65120</v>
      </c>
      <c r="G39" s="85">
        <f t="shared" si="3"/>
        <v>4</v>
      </c>
      <c r="H39" s="86">
        <f t="shared" si="4"/>
        <v>0</v>
      </c>
      <c r="I39" s="87">
        <f t="shared" si="5"/>
        <v>7.5</v>
      </c>
      <c r="J39" s="95">
        <f t="shared" si="7"/>
        <v>47</v>
      </c>
      <c r="K39" s="73">
        <f t="shared" si="8"/>
        <v>1</v>
      </c>
      <c r="L39" s="90" t="str">
        <f t="shared" si="9"/>
        <v>58-65175</v>
      </c>
      <c r="M39" s="90">
        <f t="shared" si="10"/>
        <v>7.5</v>
      </c>
      <c r="N39" s="73">
        <f t="shared" si="11"/>
        <v>0</v>
      </c>
      <c r="O39" s="91">
        <f t="shared" si="12"/>
        <v>-3.5</v>
      </c>
      <c r="P39" s="72">
        <f t="shared" si="13"/>
        <v>0</v>
      </c>
      <c r="Q39" s="92">
        <f t="shared" si="14"/>
        <v>0</v>
      </c>
      <c r="R39" s="93">
        <f t="shared" si="6"/>
        <v>0.875</v>
      </c>
      <c r="S39" s="71"/>
      <c r="T39" s="12"/>
      <c r="U39" s="12"/>
      <c r="V39" s="4"/>
      <c r="W39" s="15"/>
    </row>
    <row r="40" spans="1:23" hidden="1" x14ac:dyDescent="0.2">
      <c r="A40" s="79">
        <v>400</v>
      </c>
      <c r="B40" s="104" t="s">
        <v>76</v>
      </c>
      <c r="C40" s="19">
        <v>26</v>
      </c>
      <c r="D40" s="82">
        <f t="shared" si="0"/>
        <v>4</v>
      </c>
      <c r="E40" s="83">
        <f t="shared" si="1"/>
        <v>47</v>
      </c>
      <c r="F40" s="84" t="str">
        <f t="shared" si="2"/>
        <v>58-65120</v>
      </c>
      <c r="G40" s="85">
        <f t="shared" si="3"/>
        <v>4</v>
      </c>
      <c r="H40" s="86">
        <f t="shared" si="4"/>
        <v>0</v>
      </c>
      <c r="I40" s="87">
        <f t="shared" si="5"/>
        <v>7.5</v>
      </c>
      <c r="J40" s="95">
        <f t="shared" si="7"/>
        <v>47</v>
      </c>
      <c r="K40" s="73">
        <f t="shared" si="8"/>
        <v>1</v>
      </c>
      <c r="L40" s="90" t="str">
        <f t="shared" si="9"/>
        <v>58-65175</v>
      </c>
      <c r="M40" s="90">
        <f t="shared" si="10"/>
        <v>7.5</v>
      </c>
      <c r="N40" s="73">
        <f t="shared" si="11"/>
        <v>0</v>
      </c>
      <c r="O40" s="91">
        <f t="shared" si="12"/>
        <v>-3.5</v>
      </c>
      <c r="P40" s="72">
        <f t="shared" si="13"/>
        <v>0</v>
      </c>
      <c r="Q40" s="92">
        <f t="shared" si="14"/>
        <v>0</v>
      </c>
      <c r="R40" s="93">
        <f t="shared" si="6"/>
        <v>0.875</v>
      </c>
      <c r="S40" s="71"/>
      <c r="T40" s="12"/>
      <c r="U40" s="12"/>
      <c r="V40" s="4"/>
      <c r="W40" s="15"/>
    </row>
    <row r="41" spans="1:23" ht="13.5" hidden="1" thickBot="1" x14ac:dyDescent="0.25">
      <c r="A41" s="119">
        <v>450</v>
      </c>
      <c r="B41" s="124" t="s">
        <v>77</v>
      </c>
      <c r="C41" s="125">
        <v>33</v>
      </c>
      <c r="D41" s="82">
        <f t="shared" si="0"/>
        <v>4</v>
      </c>
      <c r="E41" s="83">
        <f t="shared" si="1"/>
        <v>47</v>
      </c>
      <c r="F41" s="84" t="str">
        <f t="shared" si="2"/>
        <v>58-65120</v>
      </c>
      <c r="G41" s="85">
        <f t="shared" si="3"/>
        <v>4</v>
      </c>
      <c r="H41" s="86">
        <f t="shared" si="4"/>
        <v>0</v>
      </c>
      <c r="I41" s="87">
        <f t="shared" si="5"/>
        <v>7.5</v>
      </c>
      <c r="J41" s="95">
        <f t="shared" si="7"/>
        <v>47</v>
      </c>
      <c r="K41" s="73">
        <f t="shared" si="8"/>
        <v>1</v>
      </c>
      <c r="L41" s="90" t="str">
        <f t="shared" si="9"/>
        <v>58-65175</v>
      </c>
      <c r="M41" s="90">
        <f t="shared" si="10"/>
        <v>7.5</v>
      </c>
      <c r="N41" s="73">
        <f t="shared" si="11"/>
        <v>0</v>
      </c>
      <c r="O41" s="91">
        <f t="shared" si="12"/>
        <v>-3.5</v>
      </c>
      <c r="P41" s="72">
        <f t="shared" si="13"/>
        <v>0</v>
      </c>
      <c r="Q41" s="92">
        <f t="shared" si="14"/>
        <v>0</v>
      </c>
      <c r="R41" s="93">
        <f t="shared" si="6"/>
        <v>0.875</v>
      </c>
      <c r="S41" s="71"/>
      <c r="T41" s="12"/>
      <c r="U41" s="12"/>
      <c r="V41" s="4"/>
      <c r="W41" s="96"/>
    </row>
    <row r="42" spans="1:23" ht="13.5" hidden="1" thickTop="1" x14ac:dyDescent="0.2">
      <c r="A42" s="79">
        <v>500</v>
      </c>
      <c r="B42" s="80"/>
      <c r="C42" s="81">
        <v>40</v>
      </c>
      <c r="D42" s="82">
        <f t="shared" si="0"/>
        <v>4</v>
      </c>
      <c r="E42" s="83">
        <f t="shared" si="1"/>
        <v>47</v>
      </c>
      <c r="F42" s="84" t="str">
        <f t="shared" si="2"/>
        <v>58-65120</v>
      </c>
      <c r="G42" s="85">
        <f t="shared" si="3"/>
        <v>4</v>
      </c>
      <c r="H42" s="86">
        <f t="shared" si="4"/>
        <v>0</v>
      </c>
      <c r="I42" s="87">
        <f t="shared" si="5"/>
        <v>7.5</v>
      </c>
      <c r="J42" s="95">
        <f t="shared" si="7"/>
        <v>47</v>
      </c>
      <c r="K42" s="73">
        <f t="shared" si="8"/>
        <v>1</v>
      </c>
      <c r="L42" s="90" t="str">
        <f t="shared" si="9"/>
        <v>58-65175</v>
      </c>
      <c r="M42" s="90">
        <f t="shared" si="10"/>
        <v>7.5</v>
      </c>
      <c r="N42" s="73">
        <f t="shared" si="11"/>
        <v>0</v>
      </c>
      <c r="O42" s="91">
        <f t="shared" si="12"/>
        <v>-3.5</v>
      </c>
      <c r="P42" s="72">
        <f t="shared" si="13"/>
        <v>0</v>
      </c>
      <c r="Q42" s="92">
        <f t="shared" si="14"/>
        <v>0</v>
      </c>
      <c r="R42" s="93">
        <f t="shared" si="6"/>
        <v>0.875</v>
      </c>
      <c r="S42" s="71"/>
      <c r="T42" s="12"/>
      <c r="U42" s="12"/>
      <c r="V42" s="4"/>
      <c r="W42" s="15"/>
    </row>
    <row r="43" spans="1:23" hidden="1" x14ac:dyDescent="0.2">
      <c r="A43" s="119">
        <v>600</v>
      </c>
      <c r="B43" s="94"/>
      <c r="C43" s="120">
        <v>56</v>
      </c>
      <c r="D43" s="82">
        <f t="shared" si="0"/>
        <v>4</v>
      </c>
      <c r="E43" s="83">
        <f t="shared" si="1"/>
        <v>47</v>
      </c>
      <c r="F43" s="84" t="str">
        <f t="shared" si="2"/>
        <v>58-65120</v>
      </c>
      <c r="G43" s="85">
        <f t="shared" si="3"/>
        <v>4</v>
      </c>
      <c r="H43" s="86">
        <f t="shared" si="4"/>
        <v>0</v>
      </c>
      <c r="I43" s="87">
        <f t="shared" si="5"/>
        <v>7.5</v>
      </c>
      <c r="J43" s="95">
        <f t="shared" si="7"/>
        <v>47</v>
      </c>
      <c r="K43" s="73">
        <f t="shared" si="8"/>
        <v>1</v>
      </c>
      <c r="L43" s="90" t="str">
        <f t="shared" si="9"/>
        <v>58-65175</v>
      </c>
      <c r="M43" s="90">
        <f t="shared" si="10"/>
        <v>7.5</v>
      </c>
      <c r="N43" s="73">
        <f t="shared" si="11"/>
        <v>0</v>
      </c>
      <c r="O43" s="91">
        <f t="shared" si="12"/>
        <v>-3.5</v>
      </c>
      <c r="P43" s="72">
        <f t="shared" si="13"/>
        <v>0</v>
      </c>
      <c r="Q43" s="92">
        <f t="shared" si="14"/>
        <v>0</v>
      </c>
      <c r="R43" s="93">
        <f t="shared" si="6"/>
        <v>0.875</v>
      </c>
      <c r="S43" s="71"/>
      <c r="T43" s="12"/>
      <c r="U43" s="12"/>
      <c r="V43" s="4"/>
      <c r="W43" s="15"/>
    </row>
    <row r="44" spans="1:23" hidden="1" x14ac:dyDescent="0.2">
      <c r="A44" s="79">
        <v>800</v>
      </c>
      <c r="B44" s="80"/>
      <c r="C44" s="81">
        <v>85</v>
      </c>
      <c r="D44" s="82">
        <f t="shared" si="0"/>
        <v>4</v>
      </c>
      <c r="E44" s="83">
        <f t="shared" si="1"/>
        <v>47</v>
      </c>
      <c r="F44" s="84" t="str">
        <f t="shared" si="2"/>
        <v>58-65120</v>
      </c>
      <c r="G44" s="85">
        <f t="shared" si="3"/>
        <v>4</v>
      </c>
      <c r="H44" s="86">
        <f t="shared" si="4"/>
        <v>0</v>
      </c>
      <c r="I44" s="87">
        <f t="shared" si="5"/>
        <v>7.5</v>
      </c>
      <c r="J44" s="95">
        <f t="shared" si="7"/>
        <v>47</v>
      </c>
      <c r="K44" s="73">
        <f t="shared" si="8"/>
        <v>1</v>
      </c>
      <c r="L44" s="90" t="str">
        <f t="shared" si="9"/>
        <v>58-65175</v>
      </c>
      <c r="M44" s="90">
        <f t="shared" si="10"/>
        <v>7.5</v>
      </c>
      <c r="N44" s="73">
        <f t="shared" si="11"/>
        <v>0</v>
      </c>
      <c r="O44" s="91">
        <f t="shared" si="12"/>
        <v>-3.5</v>
      </c>
      <c r="P44" s="72">
        <f t="shared" si="13"/>
        <v>0</v>
      </c>
      <c r="Q44" s="92">
        <f t="shared" si="14"/>
        <v>0</v>
      </c>
      <c r="R44" s="93">
        <f t="shared" si="6"/>
        <v>0.875</v>
      </c>
      <c r="S44" s="71"/>
    </row>
    <row r="45" spans="1:23" hidden="1" x14ac:dyDescent="0.2">
      <c r="A45" s="3"/>
      <c r="I45" s="4"/>
      <c r="J45" s="44"/>
      <c r="R45" s="2"/>
      <c r="S45" s="71"/>
    </row>
    <row r="46" spans="1:23" ht="12.75" hidden="1" customHeight="1" x14ac:dyDescent="0.2">
      <c r="A46" s="127"/>
      <c r="B46" s="128" t="s">
        <v>36</v>
      </c>
      <c r="C46" s="22"/>
      <c r="D46" s="129"/>
      <c r="E46" s="129"/>
      <c r="F46" s="22"/>
      <c r="G46" s="22"/>
      <c r="H46" s="22"/>
      <c r="I46" s="130" t="s">
        <v>37</v>
      </c>
      <c r="J46" s="128" t="s">
        <v>38</v>
      </c>
      <c r="K46" s="130"/>
      <c r="L46" s="130"/>
      <c r="M46" s="130"/>
      <c r="N46" s="130"/>
      <c r="O46" s="130"/>
      <c r="P46" s="22"/>
      <c r="Q46" s="22"/>
      <c r="R46" s="131"/>
      <c r="S46" s="10"/>
    </row>
    <row r="47" spans="1:23" ht="12.75" hidden="1" customHeight="1" x14ac:dyDescent="0.2">
      <c r="A47" s="132"/>
      <c r="B47" s="133" t="s">
        <v>39</v>
      </c>
      <c r="C47" s="97"/>
      <c r="D47" s="134"/>
      <c r="E47" s="1"/>
      <c r="F47" s="1"/>
      <c r="G47" s="1"/>
      <c r="H47" s="1"/>
      <c r="I47" s="1"/>
      <c r="J47" s="1"/>
      <c r="K47" s="1"/>
      <c r="L47" s="1"/>
      <c r="M47" s="135" t="s">
        <v>40</v>
      </c>
      <c r="N47" s="1"/>
      <c r="O47" s="1"/>
      <c r="P47" s="1"/>
      <c r="Q47" s="1"/>
      <c r="R47" s="136"/>
      <c r="S47" s="71"/>
    </row>
    <row r="48" spans="1:23" ht="12.75" hidden="1" customHeight="1" x14ac:dyDescent="0.2">
      <c r="A48" s="132"/>
      <c r="B48" s="137" t="s">
        <v>41</v>
      </c>
      <c r="C48" s="121"/>
      <c r="D48" s="121"/>
      <c r="E48" s="121"/>
      <c r="F48" s="1"/>
      <c r="G48" s="1"/>
      <c r="H48" s="121"/>
      <c r="I48" s="121"/>
      <c r="J48" s="1"/>
      <c r="K48" s="1"/>
      <c r="L48" s="1"/>
      <c r="M48" s="138" t="s">
        <v>42</v>
      </c>
      <c r="N48" s="1"/>
      <c r="O48" s="1"/>
      <c r="P48" s="1"/>
      <c r="Q48" s="1"/>
      <c r="R48" s="136"/>
      <c r="S48" s="71"/>
    </row>
    <row r="49" spans="1:19" ht="12.75" hidden="1" customHeight="1" x14ac:dyDescent="0.2">
      <c r="A49" s="139"/>
      <c r="B49" s="1"/>
      <c r="C49" s="511" t="s">
        <v>43</v>
      </c>
      <c r="D49" s="511"/>
      <c r="E49" s="511"/>
      <c r="F49" s="511"/>
      <c r="G49" s="511"/>
      <c r="H49" s="511"/>
      <c r="I49" s="511"/>
      <c r="J49" s="140"/>
      <c r="K49" s="1"/>
      <c r="L49" s="1"/>
      <c r="M49" s="1"/>
      <c r="N49" s="1"/>
      <c r="O49" s="1"/>
      <c r="P49" s="1"/>
      <c r="Q49" s="1"/>
      <c r="R49" s="136"/>
      <c r="S49" s="71"/>
    </row>
    <row r="50" spans="1:19" ht="12.75" hidden="1" customHeight="1" x14ac:dyDescent="0.2">
      <c r="A50" s="141"/>
      <c r="B50" s="1"/>
      <c r="C50" s="551" t="s">
        <v>8</v>
      </c>
      <c r="D50" s="551"/>
      <c r="E50" s="551"/>
      <c r="F50" s="551"/>
      <c r="G50" s="551" t="s">
        <v>7</v>
      </c>
      <c r="H50" s="551"/>
      <c r="I50" s="551"/>
      <c r="J50" s="1"/>
      <c r="K50" s="1"/>
      <c r="L50" s="1"/>
      <c r="M50" s="1" t="s">
        <v>44</v>
      </c>
      <c r="N50" s="1"/>
      <c r="O50" s="1"/>
      <c r="P50" s="1"/>
      <c r="Q50" s="1"/>
      <c r="R50" s="136"/>
      <c r="S50" s="71"/>
    </row>
    <row r="51" spans="1:19" ht="12.75" hidden="1" customHeight="1" x14ac:dyDescent="0.2">
      <c r="A51" s="139"/>
      <c r="B51" s="13"/>
      <c r="C51" s="121" t="s">
        <v>6</v>
      </c>
      <c r="D51" s="13" t="s">
        <v>19</v>
      </c>
      <c r="E51" s="121" t="s">
        <v>0</v>
      </c>
      <c r="F51" s="121"/>
      <c r="G51" s="13" t="s">
        <v>19</v>
      </c>
      <c r="H51" s="121" t="s">
        <v>0</v>
      </c>
      <c r="I51" s="121"/>
      <c r="J51" s="1"/>
      <c r="K51" s="142"/>
      <c r="L51" s="137"/>
      <c r="M51" s="1"/>
      <c r="N51" s="1"/>
      <c r="O51" s="1"/>
      <c r="P51" s="1"/>
      <c r="Q51" s="1"/>
      <c r="R51" s="136"/>
      <c r="S51" s="71"/>
    </row>
    <row r="52" spans="1:19" ht="12.75" hidden="1" customHeight="1" x14ac:dyDescent="0.2">
      <c r="A52" s="143"/>
      <c r="B52" s="1"/>
      <c r="C52" s="121"/>
      <c r="D52" s="1"/>
      <c r="E52" s="121" t="s">
        <v>4</v>
      </c>
      <c r="F52" s="121" t="s">
        <v>5</v>
      </c>
      <c r="G52" s="121"/>
      <c r="H52" s="121" t="s">
        <v>4</v>
      </c>
      <c r="I52" s="121" t="s">
        <v>5</v>
      </c>
      <c r="J52" s="1"/>
      <c r="K52" s="1"/>
      <c r="L52" s="1"/>
      <c r="M52" s="140" t="s">
        <v>45</v>
      </c>
      <c r="N52" s="1"/>
      <c r="O52" s="1"/>
      <c r="P52" s="1"/>
      <c r="Q52" s="1"/>
      <c r="R52" s="136"/>
      <c r="S52" s="71"/>
    </row>
    <row r="53" spans="1:19" ht="12.75" hidden="1" customHeight="1" x14ac:dyDescent="0.2">
      <c r="A53" s="139"/>
      <c r="B53" s="144"/>
      <c r="C53" s="145"/>
      <c r="D53" s="144"/>
      <c r="E53" s="121"/>
      <c r="F53" s="121"/>
      <c r="G53" s="144">
        <f t="shared" ref="G53:I79" si="15">D54</f>
        <v>0</v>
      </c>
      <c r="H53" s="121"/>
      <c r="I53" s="121"/>
      <c r="J53" s="1"/>
      <c r="K53" s="1"/>
      <c r="L53" s="1"/>
      <c r="M53" s="1"/>
      <c r="N53" s="1"/>
      <c r="O53" s="1"/>
      <c r="P53" s="1"/>
      <c r="Q53" s="1"/>
      <c r="R53" s="136"/>
      <c r="S53" s="71"/>
    </row>
    <row r="54" spans="1:19" ht="12.75" hidden="1" customHeight="1" x14ac:dyDescent="0.2">
      <c r="A54" s="141"/>
      <c r="B54" s="144"/>
      <c r="C54" s="146"/>
      <c r="D54" s="144">
        <v>0</v>
      </c>
      <c r="E54" s="1"/>
      <c r="F54" s="1"/>
      <c r="G54" s="144">
        <f t="shared" si="15"/>
        <v>4</v>
      </c>
      <c r="H54" s="146">
        <f t="shared" si="15"/>
        <v>47</v>
      </c>
      <c r="I54" s="144" t="str">
        <f t="shared" si="15"/>
        <v>58-65120</v>
      </c>
      <c r="J54" s="1"/>
      <c r="K54" s="147">
        <f>D30</f>
        <v>4</v>
      </c>
      <c r="L54" s="140" t="s">
        <v>46</v>
      </c>
      <c r="M54" s="1" t="s">
        <v>36</v>
      </c>
      <c r="N54" s="1"/>
      <c r="O54" s="1"/>
      <c r="P54" s="1"/>
      <c r="Q54" s="1"/>
      <c r="R54" s="136"/>
      <c r="S54" s="71"/>
    </row>
    <row r="55" spans="1:19" ht="12.75" hidden="1" customHeight="1" x14ac:dyDescent="0.2">
      <c r="A55" s="141"/>
      <c r="B55" s="144"/>
      <c r="C55" s="146">
        <v>4000</v>
      </c>
      <c r="D55" s="144">
        <v>4</v>
      </c>
      <c r="E55" s="1">
        <v>47</v>
      </c>
      <c r="F55" s="158" t="s">
        <v>93</v>
      </c>
      <c r="G55" s="144">
        <f t="shared" si="15"/>
        <v>7.5</v>
      </c>
      <c r="H55" s="146">
        <f t="shared" si="15"/>
        <v>47</v>
      </c>
      <c r="I55" s="144" t="str">
        <f t="shared" si="15"/>
        <v>58-65175</v>
      </c>
      <c r="J55" s="1"/>
      <c r="K55" s="148">
        <f>E30</f>
        <v>47</v>
      </c>
      <c r="L55" s="140" t="s">
        <v>47</v>
      </c>
      <c r="M55" s="1" t="s">
        <v>48</v>
      </c>
      <c r="N55" s="1"/>
      <c r="O55" s="1"/>
      <c r="P55" s="1"/>
      <c r="Q55" s="1"/>
      <c r="R55" s="136"/>
      <c r="S55" s="71"/>
    </row>
    <row r="56" spans="1:19" ht="12.75" hidden="1" customHeight="1" x14ac:dyDescent="0.2">
      <c r="A56" s="141"/>
      <c r="B56" s="144"/>
      <c r="C56" s="1">
        <v>7500</v>
      </c>
      <c r="D56" s="144">
        <v>7.5</v>
      </c>
      <c r="E56" s="1">
        <v>47</v>
      </c>
      <c r="F56" s="158" t="s">
        <v>94</v>
      </c>
      <c r="G56" s="144">
        <v>8.5</v>
      </c>
      <c r="H56" s="1">
        <v>47</v>
      </c>
      <c r="I56" s="158" t="s">
        <v>106</v>
      </c>
      <c r="J56" s="1"/>
      <c r="K56" s="148" t="str">
        <f>F30</f>
        <v>58-65120</v>
      </c>
      <c r="L56" s="140" t="s">
        <v>49</v>
      </c>
      <c r="M56" s="149" t="s">
        <v>50</v>
      </c>
      <c r="N56" s="1"/>
      <c r="O56" s="1"/>
      <c r="P56" s="1"/>
      <c r="Q56" s="1"/>
      <c r="R56" s="136"/>
      <c r="S56" s="71"/>
    </row>
    <row r="57" spans="1:19" ht="12.75" hidden="1" customHeight="1" x14ac:dyDescent="0.2">
      <c r="A57" s="141"/>
      <c r="B57" s="144"/>
      <c r="C57" s="1">
        <v>8500</v>
      </c>
      <c r="D57" s="144">
        <v>8.5</v>
      </c>
      <c r="E57" s="1">
        <v>47</v>
      </c>
      <c r="F57" s="158" t="s">
        <v>106</v>
      </c>
      <c r="G57" s="144">
        <v>12.5</v>
      </c>
      <c r="H57" s="1">
        <v>47</v>
      </c>
      <c r="I57" s="158" t="s">
        <v>107</v>
      </c>
      <c r="J57" s="1"/>
      <c r="K57" s="148"/>
      <c r="L57" s="140"/>
      <c r="M57" s="149"/>
      <c r="N57" s="1"/>
      <c r="O57" s="1"/>
      <c r="P57" s="1"/>
      <c r="Q57" s="1"/>
      <c r="R57" s="136"/>
      <c r="S57" s="71"/>
    </row>
    <row r="58" spans="1:19" ht="12.75" hidden="1" customHeight="1" x14ac:dyDescent="0.2">
      <c r="A58" s="141"/>
      <c r="B58" s="144"/>
      <c r="C58" s="1">
        <v>12500</v>
      </c>
      <c r="D58" s="144">
        <v>12.5</v>
      </c>
      <c r="E58" s="1">
        <v>47</v>
      </c>
      <c r="F58" s="158" t="s">
        <v>107</v>
      </c>
      <c r="G58" s="144">
        <v>13.8</v>
      </c>
      <c r="H58" s="1">
        <v>47</v>
      </c>
      <c r="I58" s="158" t="s">
        <v>110</v>
      </c>
      <c r="J58" s="1"/>
      <c r="K58" s="148"/>
      <c r="L58" s="140"/>
      <c r="M58" s="149"/>
      <c r="N58" s="1"/>
      <c r="O58" s="1"/>
      <c r="P58" s="1"/>
      <c r="Q58" s="1"/>
      <c r="R58" s="136"/>
      <c r="S58" s="71"/>
    </row>
    <row r="59" spans="1:19" ht="12.75" hidden="1" customHeight="1" x14ac:dyDescent="0.2">
      <c r="A59" s="141"/>
      <c r="B59" s="144"/>
      <c r="C59" s="1">
        <v>13800</v>
      </c>
      <c r="D59" s="144">
        <v>13.8</v>
      </c>
      <c r="E59" s="1">
        <v>47</v>
      </c>
      <c r="F59" s="158" t="s">
        <v>110</v>
      </c>
      <c r="G59" s="144">
        <v>15.3</v>
      </c>
      <c r="H59" s="1">
        <v>47</v>
      </c>
      <c r="I59" s="158" t="s">
        <v>111</v>
      </c>
      <c r="J59" s="1"/>
      <c r="K59" s="148"/>
      <c r="L59" s="140"/>
      <c r="M59" s="149"/>
      <c r="N59" s="1"/>
      <c r="O59" s="1"/>
      <c r="P59" s="1"/>
      <c r="Q59" s="1"/>
      <c r="R59" s="136"/>
      <c r="S59" s="71"/>
    </row>
    <row r="60" spans="1:19" ht="12.75" hidden="1" customHeight="1" x14ac:dyDescent="0.2">
      <c r="A60" s="141"/>
      <c r="B60" s="144"/>
      <c r="C60" s="1">
        <v>15300</v>
      </c>
      <c r="D60" s="144">
        <v>15.3</v>
      </c>
      <c r="E60" s="1">
        <v>47</v>
      </c>
      <c r="F60" s="158" t="s">
        <v>111</v>
      </c>
      <c r="G60" s="144">
        <v>16.3</v>
      </c>
      <c r="H60" s="1">
        <v>47</v>
      </c>
      <c r="I60" s="158" t="s">
        <v>112</v>
      </c>
      <c r="J60" s="1"/>
      <c r="K60" s="148"/>
      <c r="L60" s="140"/>
      <c r="M60" s="149"/>
      <c r="N60" s="1"/>
      <c r="O60" s="1"/>
      <c r="P60" s="1"/>
      <c r="Q60" s="1"/>
      <c r="R60" s="136"/>
      <c r="S60" s="71"/>
    </row>
    <row r="61" spans="1:19" ht="12.75" hidden="1" customHeight="1" x14ac:dyDescent="0.2">
      <c r="A61" s="141"/>
      <c r="B61" s="144"/>
      <c r="C61" s="1">
        <v>16300</v>
      </c>
      <c r="D61" s="144">
        <v>16.3</v>
      </c>
      <c r="E61" s="1">
        <v>47</v>
      </c>
      <c r="F61" s="158" t="s">
        <v>112</v>
      </c>
      <c r="G61" s="144">
        <v>18</v>
      </c>
      <c r="H61" s="1">
        <v>47</v>
      </c>
      <c r="I61" s="158" t="s">
        <v>108</v>
      </c>
      <c r="J61" s="1"/>
      <c r="K61" s="148"/>
      <c r="L61" s="140"/>
      <c r="M61" s="149"/>
      <c r="N61" s="1"/>
      <c r="O61" s="1"/>
      <c r="P61" s="1"/>
      <c r="Q61" s="1"/>
      <c r="R61" s="136"/>
      <c r="S61" s="71"/>
    </row>
    <row r="62" spans="1:19" ht="12.75" hidden="1" customHeight="1" x14ac:dyDescent="0.2">
      <c r="A62" s="141"/>
      <c r="B62" s="144"/>
      <c r="C62" s="1">
        <v>18000</v>
      </c>
      <c r="D62" s="144">
        <v>18</v>
      </c>
      <c r="E62" s="1">
        <v>47</v>
      </c>
      <c r="F62" s="158" t="s">
        <v>108</v>
      </c>
      <c r="G62" s="144">
        <v>19</v>
      </c>
      <c r="H62" s="1">
        <v>47</v>
      </c>
      <c r="I62" s="158" t="s">
        <v>113</v>
      </c>
      <c r="J62" s="1"/>
      <c r="K62" s="148"/>
      <c r="L62" s="140"/>
      <c r="M62" s="149"/>
      <c r="N62" s="1"/>
      <c r="O62" s="1"/>
      <c r="P62" s="1"/>
      <c r="Q62" s="1"/>
      <c r="R62" s="136"/>
      <c r="S62" s="71"/>
    </row>
    <row r="63" spans="1:19" ht="12.75" hidden="1" customHeight="1" x14ac:dyDescent="0.2">
      <c r="A63" s="141"/>
      <c r="B63" s="144"/>
      <c r="C63" s="1">
        <v>19000</v>
      </c>
      <c r="D63" s="144">
        <v>19</v>
      </c>
      <c r="E63" s="1">
        <v>47</v>
      </c>
      <c r="F63" s="158" t="s">
        <v>113</v>
      </c>
      <c r="G63" s="144">
        <v>20.3</v>
      </c>
      <c r="H63" s="1">
        <v>47</v>
      </c>
      <c r="I63" s="158" t="s">
        <v>114</v>
      </c>
      <c r="J63" s="1"/>
      <c r="K63" s="148"/>
      <c r="L63" s="140"/>
      <c r="M63" s="149"/>
      <c r="N63" s="1"/>
      <c r="O63" s="1"/>
      <c r="P63" s="1"/>
      <c r="Q63" s="1"/>
      <c r="R63" s="136"/>
      <c r="S63" s="71"/>
    </row>
    <row r="64" spans="1:19" ht="12.75" hidden="1" customHeight="1" x14ac:dyDescent="0.2">
      <c r="A64" s="141"/>
      <c r="B64" s="144"/>
      <c r="C64" s="1">
        <v>20300</v>
      </c>
      <c r="D64" s="144">
        <v>20.3</v>
      </c>
      <c r="E64" s="1">
        <v>47</v>
      </c>
      <c r="F64" s="158" t="s">
        <v>114</v>
      </c>
      <c r="G64" s="144">
        <v>21.5</v>
      </c>
      <c r="H64" s="1">
        <v>47</v>
      </c>
      <c r="I64" s="158" t="s">
        <v>109</v>
      </c>
      <c r="J64" s="1"/>
      <c r="K64" s="148"/>
      <c r="L64" s="140"/>
      <c r="M64" s="149"/>
      <c r="N64" s="1"/>
      <c r="O64" s="1"/>
      <c r="P64" s="1"/>
      <c r="Q64" s="1"/>
      <c r="R64" s="136"/>
      <c r="S64" s="71"/>
    </row>
    <row r="65" spans="1:19" ht="12.75" hidden="1" customHeight="1" x14ac:dyDescent="0.2">
      <c r="A65" s="141"/>
      <c r="B65" s="144"/>
      <c r="C65" s="1">
        <v>21500</v>
      </c>
      <c r="D65" s="144">
        <v>21.5</v>
      </c>
      <c r="E65" s="1">
        <v>47</v>
      </c>
      <c r="F65" s="158" t="s">
        <v>109</v>
      </c>
      <c r="G65" s="144">
        <v>23.2</v>
      </c>
      <c r="H65" s="1">
        <v>47</v>
      </c>
      <c r="I65" s="158" t="s">
        <v>115</v>
      </c>
      <c r="J65" s="1"/>
      <c r="K65" s="148"/>
      <c r="L65" s="140"/>
      <c r="M65" s="149"/>
      <c r="N65" s="1"/>
      <c r="O65" s="1"/>
      <c r="P65" s="1"/>
      <c r="Q65" s="1"/>
      <c r="R65" s="136"/>
      <c r="S65" s="71"/>
    </row>
    <row r="66" spans="1:19" ht="12.75" hidden="1" customHeight="1" x14ac:dyDescent="0.2">
      <c r="A66" s="141"/>
      <c r="B66" s="144"/>
      <c r="C66" s="1">
        <v>23200</v>
      </c>
      <c r="D66" s="144">
        <v>23.2</v>
      </c>
      <c r="E66" s="1">
        <v>47</v>
      </c>
      <c r="F66" s="158" t="s">
        <v>115</v>
      </c>
      <c r="G66" s="144">
        <v>24.3</v>
      </c>
      <c r="H66" s="1">
        <v>47</v>
      </c>
      <c r="I66" s="158" t="s">
        <v>116</v>
      </c>
      <c r="J66" s="1"/>
      <c r="K66" s="148"/>
      <c r="L66" s="140"/>
      <c r="M66" s="149"/>
      <c r="N66" s="1"/>
      <c r="O66" s="1"/>
      <c r="P66" s="1"/>
      <c r="Q66" s="1"/>
      <c r="R66" s="136"/>
      <c r="S66" s="71"/>
    </row>
    <row r="67" spans="1:19" ht="12.75" hidden="1" customHeight="1" x14ac:dyDescent="0.2">
      <c r="A67" s="141"/>
      <c r="B67" s="144"/>
      <c r="C67" s="1">
        <v>24300</v>
      </c>
      <c r="D67" s="144">
        <v>24.3</v>
      </c>
      <c r="E67" s="1">
        <v>47</v>
      </c>
      <c r="F67" s="158" t="s">
        <v>116</v>
      </c>
      <c r="G67" s="144">
        <v>25.3</v>
      </c>
      <c r="H67" s="1">
        <v>47</v>
      </c>
      <c r="I67" s="158" t="s">
        <v>117</v>
      </c>
      <c r="J67" s="1"/>
      <c r="K67" s="148"/>
      <c r="L67" s="140"/>
      <c r="M67" s="149"/>
      <c r="N67" s="1"/>
      <c r="O67" s="1"/>
      <c r="P67" s="1"/>
      <c r="Q67" s="1"/>
      <c r="R67" s="136"/>
      <c r="S67" s="71"/>
    </row>
    <row r="68" spans="1:19" ht="12.75" hidden="1" customHeight="1" x14ac:dyDescent="0.2">
      <c r="A68" s="141"/>
      <c r="B68" s="144"/>
      <c r="C68" s="1">
        <v>25300</v>
      </c>
      <c r="D68" s="144">
        <v>25.3</v>
      </c>
      <c r="E68" s="1">
        <v>47</v>
      </c>
      <c r="F68" s="158" t="s">
        <v>117</v>
      </c>
      <c r="G68" s="144">
        <v>27</v>
      </c>
      <c r="H68" s="1">
        <v>47</v>
      </c>
      <c r="I68" s="158" t="s">
        <v>118</v>
      </c>
      <c r="J68" s="1"/>
      <c r="K68" s="148"/>
      <c r="L68" s="140"/>
      <c r="M68" s="149"/>
      <c r="N68" s="1"/>
      <c r="O68" s="1"/>
      <c r="P68" s="1"/>
      <c r="Q68" s="1"/>
      <c r="R68" s="136"/>
      <c r="S68" s="71"/>
    </row>
    <row r="69" spans="1:19" ht="12.75" hidden="1" customHeight="1" x14ac:dyDescent="0.2">
      <c r="A69" s="141"/>
      <c r="B69" s="144"/>
      <c r="C69" s="1">
        <v>27000</v>
      </c>
      <c r="D69" s="144">
        <v>27</v>
      </c>
      <c r="E69" s="1">
        <v>47</v>
      </c>
      <c r="F69" s="158" t="s">
        <v>118</v>
      </c>
      <c r="G69" s="144">
        <v>30.5</v>
      </c>
      <c r="H69" s="1">
        <v>47</v>
      </c>
      <c r="I69" s="158" t="s">
        <v>95</v>
      </c>
      <c r="J69" s="1"/>
      <c r="K69" s="148"/>
      <c r="L69" s="140"/>
      <c r="M69" s="149"/>
      <c r="N69" s="1"/>
      <c r="O69" s="1"/>
      <c r="P69" s="1"/>
      <c r="Q69" s="1"/>
      <c r="R69" s="136"/>
      <c r="S69" s="71"/>
    </row>
    <row r="70" spans="1:19" ht="12.75" hidden="1" customHeight="1" x14ac:dyDescent="0.2">
      <c r="A70" s="141"/>
      <c r="B70" s="144"/>
      <c r="C70" s="1">
        <v>30500</v>
      </c>
      <c r="D70" s="144">
        <v>30.5</v>
      </c>
      <c r="E70" s="1">
        <v>47</v>
      </c>
      <c r="F70" s="158" t="s">
        <v>95</v>
      </c>
      <c r="G70" s="144">
        <f t="shared" si="15"/>
        <v>32</v>
      </c>
      <c r="H70" s="146">
        <f t="shared" si="15"/>
        <v>47</v>
      </c>
      <c r="I70" s="144" t="str">
        <f t="shared" si="15"/>
        <v>58-65385</v>
      </c>
      <c r="J70" s="1"/>
      <c r="K70" s="142">
        <f>G30</f>
        <v>4</v>
      </c>
      <c r="L70" s="140" t="s">
        <v>51</v>
      </c>
      <c r="M70" s="1" t="s">
        <v>52</v>
      </c>
      <c r="N70" s="1"/>
      <c r="O70" s="1"/>
      <c r="P70" s="1"/>
      <c r="Q70" s="1"/>
      <c r="R70" s="136"/>
      <c r="S70" s="71"/>
    </row>
    <row r="71" spans="1:19" ht="12.75" hidden="1" customHeight="1" x14ac:dyDescent="0.2">
      <c r="A71" s="141"/>
      <c r="B71" s="144"/>
      <c r="C71" s="1">
        <v>32000</v>
      </c>
      <c r="D71" s="144">
        <v>32</v>
      </c>
      <c r="E71" s="1">
        <v>47</v>
      </c>
      <c r="F71" s="158" t="s">
        <v>96</v>
      </c>
      <c r="G71" s="144">
        <v>34</v>
      </c>
      <c r="H71" s="146">
        <f>E73</f>
        <v>49</v>
      </c>
      <c r="I71" s="144" t="s">
        <v>119</v>
      </c>
      <c r="J71" s="1"/>
      <c r="K71" s="1"/>
      <c r="L71" s="1"/>
      <c r="M71" s="1"/>
      <c r="N71" s="1"/>
      <c r="O71" s="1"/>
      <c r="P71" s="1"/>
      <c r="Q71" s="1"/>
      <c r="R71" s="136"/>
      <c r="S71" s="71"/>
    </row>
    <row r="72" spans="1:19" ht="12.75" hidden="1" customHeight="1" x14ac:dyDescent="0.2">
      <c r="A72" s="141"/>
      <c r="B72" s="144"/>
      <c r="C72" s="1">
        <v>34000</v>
      </c>
      <c r="D72" s="144">
        <v>34</v>
      </c>
      <c r="E72" s="1">
        <v>49</v>
      </c>
      <c r="F72" s="158" t="s">
        <v>119</v>
      </c>
      <c r="G72" s="144">
        <v>37.5</v>
      </c>
      <c r="H72" s="146">
        <v>49</v>
      </c>
      <c r="I72" s="144" t="s">
        <v>97</v>
      </c>
      <c r="J72" s="1"/>
      <c r="K72" s="1"/>
      <c r="L72" s="1"/>
      <c r="M72" s="1"/>
      <c r="N72" s="1"/>
      <c r="O72" s="1"/>
      <c r="P72" s="1"/>
      <c r="Q72" s="1"/>
      <c r="R72" s="136"/>
      <c r="S72" s="71"/>
    </row>
    <row r="73" spans="1:19" ht="12.75" hidden="1" customHeight="1" x14ac:dyDescent="0.2">
      <c r="A73" s="141"/>
      <c r="B73" s="144"/>
      <c r="C73" s="1">
        <v>37500</v>
      </c>
      <c r="D73" s="144">
        <v>37.5</v>
      </c>
      <c r="E73" s="1">
        <v>49</v>
      </c>
      <c r="F73" s="158" t="s">
        <v>97</v>
      </c>
      <c r="G73" s="144">
        <f t="shared" si="15"/>
        <v>38.5</v>
      </c>
      <c r="H73" s="146">
        <f t="shared" si="15"/>
        <v>50</v>
      </c>
      <c r="I73" s="144" t="str">
        <f t="shared" si="15"/>
        <v>58-65413</v>
      </c>
      <c r="J73" s="1"/>
      <c r="K73" s="1"/>
      <c r="L73" s="1"/>
      <c r="M73" s="1"/>
      <c r="N73" s="1"/>
      <c r="O73" s="1"/>
      <c r="P73" s="1"/>
      <c r="Q73" s="1"/>
      <c r="R73" s="136"/>
      <c r="S73" s="71"/>
    </row>
    <row r="74" spans="1:19" ht="12.75" hidden="1" customHeight="1" x14ac:dyDescent="0.2">
      <c r="A74" s="141"/>
      <c r="B74" s="144"/>
      <c r="C74" s="1">
        <v>38500</v>
      </c>
      <c r="D74" s="144">
        <v>38.5</v>
      </c>
      <c r="E74" s="1">
        <v>50</v>
      </c>
      <c r="F74" s="158" t="s">
        <v>98</v>
      </c>
      <c r="G74" s="144">
        <f t="shared" si="15"/>
        <v>39.5</v>
      </c>
      <c r="H74" s="146">
        <f t="shared" si="15"/>
        <v>50</v>
      </c>
      <c r="I74" s="144" t="str">
        <f t="shared" si="15"/>
        <v>58-65417</v>
      </c>
      <c r="J74" s="1"/>
      <c r="K74" s="1"/>
      <c r="L74" s="1"/>
      <c r="M74" s="1"/>
      <c r="N74" s="1"/>
      <c r="O74" s="1"/>
      <c r="P74" s="1"/>
      <c r="Q74" s="1"/>
      <c r="R74" s="136"/>
      <c r="S74" s="71"/>
    </row>
    <row r="75" spans="1:19" ht="12.75" hidden="1" customHeight="1" x14ac:dyDescent="0.2">
      <c r="A75" s="141"/>
      <c r="B75" s="144"/>
      <c r="C75" s="1">
        <v>39500</v>
      </c>
      <c r="D75" s="144">
        <v>39.5</v>
      </c>
      <c r="E75" s="1">
        <v>50</v>
      </c>
      <c r="F75" s="158" t="s">
        <v>99</v>
      </c>
      <c r="G75" s="144">
        <f t="shared" si="15"/>
        <v>40.5</v>
      </c>
      <c r="H75" s="146">
        <f t="shared" si="15"/>
        <v>52</v>
      </c>
      <c r="I75" s="144" t="str">
        <f t="shared" si="15"/>
        <v>58-65420</v>
      </c>
      <c r="J75" s="1"/>
      <c r="K75" s="150"/>
      <c r="L75" s="1"/>
      <c r="M75" s="1"/>
      <c r="N75" s="1"/>
      <c r="O75" s="1"/>
      <c r="P75" s="1"/>
      <c r="Q75" s="1"/>
      <c r="R75" s="136"/>
      <c r="S75" s="71"/>
    </row>
    <row r="76" spans="1:19" ht="12.75" hidden="1" customHeight="1" x14ac:dyDescent="0.2">
      <c r="A76" s="132"/>
      <c r="B76" s="144"/>
      <c r="C76" s="1">
        <v>40500</v>
      </c>
      <c r="D76" s="144">
        <v>40.5</v>
      </c>
      <c r="E76" s="1">
        <v>52</v>
      </c>
      <c r="F76" s="158" t="s">
        <v>100</v>
      </c>
      <c r="G76" s="144">
        <f t="shared" si="15"/>
        <v>41.75</v>
      </c>
      <c r="H76" s="146">
        <f t="shared" si="15"/>
        <v>53</v>
      </c>
      <c r="I76" s="144" t="str">
        <f t="shared" si="15"/>
        <v>58-65425</v>
      </c>
      <c r="J76" s="1"/>
      <c r="K76" s="151"/>
      <c r="L76" s="1"/>
      <c r="M76" s="1"/>
      <c r="N76" s="1"/>
      <c r="O76" s="1"/>
      <c r="P76" s="1"/>
      <c r="Q76" s="1"/>
      <c r="R76" s="136"/>
      <c r="S76" s="71"/>
    </row>
    <row r="77" spans="1:19" ht="12.75" hidden="1" customHeight="1" x14ac:dyDescent="0.2">
      <c r="A77" s="141"/>
      <c r="B77" s="144"/>
      <c r="C77" s="1">
        <v>41750</v>
      </c>
      <c r="D77" s="144">
        <v>41.75</v>
      </c>
      <c r="E77" s="1">
        <v>53</v>
      </c>
      <c r="F77" s="158" t="s">
        <v>101</v>
      </c>
      <c r="G77" s="144">
        <f t="shared" si="15"/>
        <v>43</v>
      </c>
      <c r="H77" s="146">
        <f t="shared" si="15"/>
        <v>54</v>
      </c>
      <c r="I77" s="144" t="str">
        <f t="shared" si="15"/>
        <v>58-65430</v>
      </c>
      <c r="J77" s="1"/>
      <c r="K77" s="8" t="s">
        <v>10</v>
      </c>
      <c r="L77" s="151" t="s">
        <v>53</v>
      </c>
      <c r="M77" s="1"/>
      <c r="N77" s="1"/>
      <c r="O77" s="1"/>
      <c r="P77" s="1"/>
      <c r="Q77" s="1"/>
      <c r="R77" s="136"/>
      <c r="S77" s="71"/>
    </row>
    <row r="78" spans="1:19" ht="12.75" hidden="1" customHeight="1" x14ac:dyDescent="0.2">
      <c r="A78" s="141"/>
      <c r="B78" s="144"/>
      <c r="C78" s="1">
        <v>43000</v>
      </c>
      <c r="D78" s="144">
        <v>43</v>
      </c>
      <c r="E78" s="1">
        <v>54</v>
      </c>
      <c r="F78" s="158" t="s">
        <v>102</v>
      </c>
      <c r="G78" s="144">
        <f t="shared" si="15"/>
        <v>44</v>
      </c>
      <c r="H78" s="146">
        <f t="shared" si="15"/>
        <v>55</v>
      </c>
      <c r="I78" s="144" t="str">
        <f t="shared" si="15"/>
        <v>58-65433</v>
      </c>
      <c r="J78" s="1"/>
      <c r="K78" s="114">
        <v>50</v>
      </c>
      <c r="L78" s="158" t="s">
        <v>92</v>
      </c>
      <c r="M78" s="1"/>
      <c r="N78" s="1"/>
      <c r="O78" s="1"/>
      <c r="P78" s="1"/>
      <c r="Q78" s="1"/>
      <c r="R78" s="136"/>
      <c r="S78" s="71"/>
    </row>
    <row r="79" spans="1:19" ht="12.75" hidden="1" customHeight="1" x14ac:dyDescent="0.2">
      <c r="A79" s="141"/>
      <c r="B79" s="144"/>
      <c r="C79" s="1">
        <v>44000</v>
      </c>
      <c r="D79" s="144">
        <v>44</v>
      </c>
      <c r="E79" s="1">
        <v>55</v>
      </c>
      <c r="F79" s="158" t="s">
        <v>103</v>
      </c>
      <c r="G79" s="144">
        <f t="shared" si="15"/>
        <v>48</v>
      </c>
      <c r="H79" s="146">
        <f t="shared" si="15"/>
        <v>60</v>
      </c>
      <c r="I79" s="144" t="str">
        <f t="shared" si="15"/>
        <v>58-65440</v>
      </c>
      <c r="J79" s="1"/>
      <c r="K79" s="97">
        <v>65</v>
      </c>
      <c r="L79" s="159" t="s">
        <v>81</v>
      </c>
      <c r="M79" s="1"/>
      <c r="N79" s="1"/>
      <c r="O79" s="1"/>
      <c r="P79" s="1"/>
      <c r="Q79" s="1"/>
      <c r="R79" s="136"/>
      <c r="S79" s="71"/>
    </row>
    <row r="80" spans="1:19" ht="12.75" hidden="1" customHeight="1" x14ac:dyDescent="0.2">
      <c r="A80" s="141"/>
      <c r="B80" s="144"/>
      <c r="C80" s="1">
        <v>48000</v>
      </c>
      <c r="D80" s="144">
        <v>48</v>
      </c>
      <c r="E80" s="1">
        <v>60</v>
      </c>
      <c r="F80" s="158" t="s">
        <v>104</v>
      </c>
      <c r="G80" s="144">
        <f>D80</f>
        <v>48</v>
      </c>
      <c r="H80" s="146">
        <f>E80</f>
        <v>60</v>
      </c>
      <c r="I80" s="144" t="str">
        <f>F80</f>
        <v>58-65440</v>
      </c>
      <c r="J80" s="1"/>
      <c r="K80" s="114">
        <v>80</v>
      </c>
      <c r="L80" s="158" t="s">
        <v>82</v>
      </c>
      <c r="M80" s="1"/>
      <c r="N80" s="1"/>
      <c r="O80" s="1"/>
      <c r="P80" s="1"/>
      <c r="Q80" s="1"/>
      <c r="R80" s="136"/>
      <c r="S80" s="71"/>
    </row>
    <row r="81" spans="1:19" ht="12.75" hidden="1" customHeight="1" x14ac:dyDescent="0.2">
      <c r="A81" s="141"/>
      <c r="B81" s="144"/>
      <c r="C81" s="1"/>
      <c r="D81" s="144"/>
      <c r="E81" s="1"/>
      <c r="F81" s="1"/>
      <c r="G81" s="144"/>
      <c r="H81" s="146"/>
      <c r="I81" s="144"/>
      <c r="J81" s="1"/>
      <c r="K81" s="97">
        <v>100</v>
      </c>
      <c r="L81" s="158" t="s">
        <v>83</v>
      </c>
      <c r="M81" s="1"/>
      <c r="N81" s="1"/>
      <c r="O81" s="1"/>
      <c r="P81" s="1"/>
      <c r="Q81" s="1"/>
      <c r="R81" s="136"/>
      <c r="S81" s="71"/>
    </row>
    <row r="82" spans="1:19" ht="12.75" hidden="1" customHeight="1" x14ac:dyDescent="0.2">
      <c r="A82" s="141"/>
      <c r="B82" s="144"/>
      <c r="C82" s="1"/>
      <c r="D82" s="144"/>
      <c r="E82" s="1"/>
      <c r="F82" s="1"/>
      <c r="G82" s="144"/>
      <c r="H82" s="146"/>
      <c r="I82" s="144"/>
      <c r="J82" s="1"/>
      <c r="K82" s="114">
        <v>125</v>
      </c>
      <c r="L82" s="158" t="s">
        <v>84</v>
      </c>
      <c r="M82" s="1"/>
      <c r="N82" s="1"/>
      <c r="O82" s="1"/>
      <c r="P82" s="1"/>
      <c r="Q82" s="1"/>
      <c r="R82" s="136"/>
      <c r="S82" s="71"/>
    </row>
    <row r="83" spans="1:19" ht="12.75" hidden="1" customHeight="1" x14ac:dyDescent="0.2">
      <c r="A83" s="141"/>
      <c r="B83" s="144"/>
      <c r="C83" s="1"/>
      <c r="D83" s="144"/>
      <c r="E83" s="1"/>
      <c r="F83" s="1"/>
      <c r="G83" s="144"/>
      <c r="H83" s="146"/>
      <c r="I83" s="144"/>
      <c r="J83" s="1"/>
      <c r="K83" s="97">
        <v>150</v>
      </c>
      <c r="L83" s="158" t="s">
        <v>85</v>
      </c>
      <c r="M83" s="1"/>
      <c r="N83" s="1"/>
      <c r="O83" s="1"/>
      <c r="P83" s="1"/>
      <c r="Q83" s="1"/>
      <c r="R83" s="136"/>
      <c r="S83" s="71"/>
    </row>
    <row r="84" spans="1:19" ht="12.75" hidden="1" customHeight="1" x14ac:dyDescent="0.2">
      <c r="A84" s="141"/>
      <c r="B84" s="144"/>
      <c r="C84" s="1"/>
      <c r="D84" s="144"/>
      <c r="E84" s="1"/>
      <c r="F84" s="1"/>
      <c r="G84" s="144"/>
      <c r="H84" s="146"/>
      <c r="I84" s="144"/>
      <c r="J84" s="1"/>
      <c r="K84" s="114">
        <v>200</v>
      </c>
      <c r="L84" s="158" t="s">
        <v>86</v>
      </c>
      <c r="M84" s="1"/>
      <c r="N84" s="1"/>
      <c r="O84" s="1"/>
      <c r="P84" s="1"/>
      <c r="Q84" s="1"/>
      <c r="R84" s="136"/>
      <c r="S84" s="71"/>
    </row>
    <row r="85" spans="1:19" ht="12.75" hidden="1" customHeight="1" x14ac:dyDescent="0.2">
      <c r="A85" s="141"/>
      <c r="B85" s="144"/>
      <c r="C85" s="1"/>
      <c r="D85" s="144"/>
      <c r="E85" s="1"/>
      <c r="F85" s="1"/>
      <c r="G85" s="144"/>
      <c r="H85" s="146"/>
      <c r="I85" s="144"/>
      <c r="J85" s="1"/>
      <c r="K85" s="97">
        <v>250</v>
      </c>
      <c r="L85" s="158" t="s">
        <v>87</v>
      </c>
      <c r="M85" s="1"/>
      <c r="N85" s="1"/>
      <c r="O85" s="1"/>
      <c r="P85" s="1"/>
      <c r="Q85" s="1"/>
      <c r="R85" s="136"/>
      <c r="S85" s="71"/>
    </row>
    <row r="86" spans="1:19" ht="12.75" hidden="1" customHeight="1" x14ac:dyDescent="0.2">
      <c r="A86" s="141"/>
      <c r="B86" s="144"/>
      <c r="C86" s="1"/>
      <c r="D86" s="144"/>
      <c r="E86" s="1"/>
      <c r="F86" s="1"/>
      <c r="G86" s="144"/>
      <c r="H86" s="146"/>
      <c r="I86" s="144"/>
      <c r="J86" s="1"/>
      <c r="K86" s="114">
        <v>300</v>
      </c>
      <c r="L86" s="158" t="s">
        <v>88</v>
      </c>
      <c r="M86" s="1"/>
      <c r="N86" s="1"/>
      <c r="O86" s="1"/>
      <c r="P86" s="1"/>
      <c r="Q86" s="1"/>
      <c r="R86" s="136"/>
      <c r="S86" s="71"/>
    </row>
    <row r="87" spans="1:19" ht="12.75" hidden="1" customHeight="1" x14ac:dyDescent="0.2">
      <c r="A87" s="141"/>
      <c r="B87" s="144"/>
      <c r="C87" s="1"/>
      <c r="D87" s="144"/>
      <c r="E87" s="1"/>
      <c r="F87" s="1"/>
      <c r="G87" s="144"/>
      <c r="H87" s="146"/>
      <c r="I87" s="144"/>
      <c r="J87" s="1"/>
      <c r="K87" s="97">
        <v>350</v>
      </c>
      <c r="L87" s="158" t="s">
        <v>89</v>
      </c>
      <c r="M87" s="1"/>
      <c r="N87" s="1"/>
      <c r="O87" s="1"/>
      <c r="P87" s="1"/>
      <c r="Q87" s="1"/>
      <c r="R87" s="136"/>
      <c r="S87" s="71"/>
    </row>
    <row r="88" spans="1:19" ht="12.75" hidden="1" customHeight="1" x14ac:dyDescent="0.2">
      <c r="A88" s="141"/>
      <c r="B88" s="144"/>
      <c r="C88" s="1"/>
      <c r="D88" s="144"/>
      <c r="E88" s="1"/>
      <c r="F88" s="1"/>
      <c r="G88" s="144"/>
      <c r="H88" s="146"/>
      <c r="I88" s="144"/>
      <c r="J88" s="1"/>
      <c r="K88" s="114">
        <v>400</v>
      </c>
      <c r="L88" s="158" t="s">
        <v>90</v>
      </c>
      <c r="M88" s="1"/>
      <c r="N88" s="1"/>
      <c r="O88" s="1"/>
      <c r="P88" s="1"/>
      <c r="Q88" s="1"/>
      <c r="R88" s="136"/>
      <c r="S88" s="71"/>
    </row>
    <row r="89" spans="1:19" ht="12.75" hidden="1" customHeight="1" x14ac:dyDescent="0.2">
      <c r="A89" s="141"/>
      <c r="B89" s="144"/>
      <c r="C89" s="1"/>
      <c r="D89" s="144"/>
      <c r="E89" s="1"/>
      <c r="F89" s="1"/>
      <c r="G89" s="144"/>
      <c r="H89" s="146"/>
      <c r="I89" s="144"/>
      <c r="J89" s="1"/>
      <c r="K89" s="97">
        <v>450</v>
      </c>
      <c r="L89" s="158" t="s">
        <v>91</v>
      </c>
      <c r="M89" s="1"/>
      <c r="N89" s="1"/>
      <c r="O89" s="1"/>
      <c r="P89" s="1"/>
      <c r="Q89" s="1"/>
      <c r="R89" s="136"/>
      <c r="S89" s="71"/>
    </row>
    <row r="90" spans="1:19" ht="12.75" hidden="1" customHeight="1" x14ac:dyDescent="0.2">
      <c r="A90" s="141"/>
      <c r="B90" s="144"/>
      <c r="C90" s="1"/>
      <c r="D90" s="144"/>
      <c r="E90" s="1"/>
      <c r="F90" s="1"/>
      <c r="G90" s="144"/>
      <c r="H90" s="146"/>
      <c r="I90" s="144"/>
      <c r="J90" s="1"/>
      <c r="K90" s="114">
        <v>500</v>
      </c>
      <c r="L90" s="140"/>
      <c r="M90" s="1"/>
      <c r="N90" s="1"/>
      <c r="O90" s="1"/>
      <c r="P90" s="1"/>
      <c r="Q90" s="1"/>
      <c r="R90" s="136"/>
      <c r="S90" s="71"/>
    </row>
    <row r="91" spans="1:19" ht="12.75" hidden="1" customHeight="1" x14ac:dyDescent="0.2">
      <c r="A91" s="141"/>
      <c r="B91" s="144"/>
      <c r="C91" s="1"/>
      <c r="D91" s="144"/>
      <c r="E91" s="1"/>
      <c r="F91" s="1"/>
      <c r="G91" s="144"/>
      <c r="H91" s="146"/>
      <c r="I91" s="144"/>
      <c r="J91" s="1"/>
      <c r="K91" s="97">
        <v>600</v>
      </c>
      <c r="L91" s="140"/>
      <c r="M91" s="1"/>
      <c r="N91" s="1"/>
      <c r="O91" s="1"/>
      <c r="P91" s="1"/>
      <c r="Q91" s="1"/>
      <c r="R91" s="136"/>
      <c r="S91" s="71"/>
    </row>
    <row r="92" spans="1:19" ht="12.75" hidden="1" customHeight="1" x14ac:dyDescent="0.2">
      <c r="A92" s="141"/>
      <c r="B92" s="144"/>
      <c r="C92" s="1"/>
      <c r="D92" s="144"/>
      <c r="E92" s="1"/>
      <c r="F92" s="1"/>
      <c r="G92" s="144"/>
      <c r="H92" s="146"/>
      <c r="I92" s="144"/>
      <c r="J92" s="1"/>
      <c r="K92" s="114">
        <v>800</v>
      </c>
      <c r="L92" s="140"/>
      <c r="M92" s="1"/>
      <c r="N92" s="1"/>
      <c r="O92" s="1"/>
      <c r="P92" s="1"/>
      <c r="Q92" s="1"/>
      <c r="R92" s="136"/>
      <c r="S92" s="71"/>
    </row>
    <row r="93" spans="1:19" ht="12.75" hidden="1" customHeight="1" x14ac:dyDescent="0.2">
      <c r="A93" s="141"/>
      <c r="B93" s="144"/>
      <c r="C93" s="1"/>
      <c r="D93" s="144"/>
      <c r="E93" s="1"/>
      <c r="F93" s="1"/>
      <c r="G93" s="144"/>
      <c r="H93" s="146"/>
      <c r="I93" s="144"/>
      <c r="J93" s="1"/>
      <c r="K93" s="1"/>
      <c r="L93" s="1"/>
      <c r="M93" s="1"/>
      <c r="N93" s="1"/>
      <c r="O93" s="1"/>
      <c r="P93" s="1"/>
      <c r="Q93" s="1"/>
      <c r="R93" s="136"/>
      <c r="S93" s="71"/>
    </row>
    <row r="94" spans="1:19" ht="12.75" hidden="1" customHeight="1" x14ac:dyDescent="0.2">
      <c r="A94" s="141"/>
      <c r="B94" s="144"/>
      <c r="C94" s="1"/>
      <c r="D94" s="144"/>
      <c r="E94" s="1"/>
      <c r="F94" s="1"/>
      <c r="G94" s="144"/>
      <c r="H94" s="146"/>
      <c r="I94" s="144"/>
      <c r="J94" s="1"/>
      <c r="K94" s="1" t="s">
        <v>105</v>
      </c>
      <c r="L94" s="1"/>
      <c r="M94" s="1">
        <f>(ROUND(D5/M6,0))-1</f>
        <v>0</v>
      </c>
      <c r="N94" s="1"/>
      <c r="O94" s="1"/>
      <c r="P94" s="1"/>
      <c r="Q94" s="1"/>
      <c r="R94" s="136"/>
      <c r="S94" s="71"/>
    </row>
    <row r="95" spans="1:19" ht="12.75" hidden="1" customHeight="1" x14ac:dyDescent="0.2">
      <c r="A95" s="141"/>
      <c r="B95" s="144"/>
      <c r="C95" s="1"/>
      <c r="D95" s="144"/>
      <c r="E95" s="1"/>
      <c r="F95" s="1"/>
      <c r="G95" s="144"/>
      <c r="H95" s="146"/>
      <c r="I95" s="144"/>
      <c r="J95" s="1"/>
      <c r="K95" s="1"/>
      <c r="L95" s="1"/>
      <c r="M95" s="1"/>
      <c r="N95" s="1"/>
      <c r="O95" s="1"/>
      <c r="P95" s="1"/>
      <c r="Q95" s="1"/>
      <c r="R95" s="136"/>
      <c r="S95" s="71"/>
    </row>
    <row r="96" spans="1:19" ht="12.75" hidden="1" customHeight="1" x14ac:dyDescent="0.2">
      <c r="A96" s="141"/>
      <c r="B96" s="144"/>
      <c r="C96" s="1"/>
      <c r="D96" s="144"/>
      <c r="E96" s="1"/>
      <c r="F96" s="1"/>
      <c r="G96" s="144"/>
      <c r="H96" s="146"/>
      <c r="I96" s="144"/>
      <c r="J96" s="1"/>
      <c r="K96" s="1"/>
      <c r="L96" s="1"/>
      <c r="M96" s="1"/>
      <c r="N96" s="1"/>
      <c r="O96" s="1"/>
      <c r="P96" s="1"/>
      <c r="Q96" s="1"/>
      <c r="R96" s="136"/>
      <c r="S96" s="71"/>
    </row>
    <row r="97" spans="1:19" ht="12.75" hidden="1" customHeight="1" x14ac:dyDescent="0.2">
      <c r="A97" s="141"/>
      <c r="B97" s="144"/>
      <c r="C97" s="1"/>
      <c r="D97" s="144"/>
      <c r="E97" s="1"/>
      <c r="F97" s="1"/>
      <c r="G97" s="144"/>
      <c r="H97" s="146"/>
      <c r="I97" s="144"/>
      <c r="J97" s="1"/>
      <c r="K97" s="1"/>
      <c r="L97" s="1"/>
      <c r="M97" s="1"/>
      <c r="N97" s="1"/>
      <c r="O97" s="1"/>
      <c r="P97" s="1"/>
      <c r="Q97" s="1"/>
      <c r="R97" s="136"/>
      <c r="S97" s="11"/>
    </row>
    <row r="98" spans="1:19" ht="12.75" hidden="1" customHeight="1" x14ac:dyDescent="0.2">
      <c r="A98" s="141"/>
      <c r="B98" s="144"/>
      <c r="C98" s="1"/>
      <c r="D98" s="144"/>
      <c r="E98" s="1"/>
      <c r="F98" s="1"/>
      <c r="G98" s="144"/>
      <c r="H98" s="146"/>
      <c r="I98" s="144"/>
      <c r="J98" s="1"/>
      <c r="K98" s="1"/>
      <c r="L98" s="1"/>
      <c r="M98" s="1"/>
      <c r="N98" s="1"/>
      <c r="O98" s="1"/>
      <c r="P98" s="1"/>
      <c r="Q98" s="1"/>
      <c r="R98" s="136"/>
    </row>
    <row r="99" spans="1:19" ht="12.75" hidden="1" customHeight="1" x14ac:dyDescent="0.2">
      <c r="A99" s="141"/>
      <c r="B99" s="144"/>
      <c r="C99" s="1"/>
      <c r="D99" s="144"/>
      <c r="E99" s="1"/>
      <c r="F99" s="1"/>
      <c r="G99" s="144"/>
      <c r="H99" s="146"/>
      <c r="I99" s="144"/>
      <c r="J99" s="1"/>
      <c r="K99" s="1"/>
      <c r="L99" s="1"/>
      <c r="M99" s="1"/>
      <c r="N99" s="1"/>
      <c r="O99" s="1"/>
      <c r="P99" s="1"/>
      <c r="Q99" s="1"/>
      <c r="R99" s="136"/>
      <c r="S99" s="11"/>
    </row>
    <row r="100" spans="1:19" ht="12.75" hidden="1" customHeight="1" x14ac:dyDescent="0.2">
      <c r="A100" s="141"/>
      <c r="B100" s="144"/>
      <c r="C100" s="1"/>
      <c r="D100" s="144"/>
      <c r="E100" s="1"/>
      <c r="F100" s="1"/>
      <c r="G100" s="144"/>
      <c r="H100" s="146"/>
      <c r="I100" s="144"/>
      <c r="J100" s="1"/>
      <c r="K100" s="1"/>
      <c r="L100" s="1"/>
      <c r="M100" s="1"/>
      <c r="N100" s="1"/>
      <c r="O100" s="1"/>
      <c r="P100" s="1"/>
      <c r="Q100" s="1"/>
      <c r="R100" s="136"/>
    </row>
    <row r="101" spans="1:19" ht="12.75" hidden="1" customHeight="1" x14ac:dyDescent="0.2">
      <c r="A101" s="141"/>
      <c r="B101" s="144"/>
      <c r="C101" s="1"/>
      <c r="D101" s="144"/>
      <c r="E101" s="1"/>
      <c r="F101" s="1"/>
      <c r="G101" s="144"/>
      <c r="H101" s="146"/>
      <c r="I101" s="144"/>
      <c r="J101" s="1"/>
      <c r="K101" s="1"/>
      <c r="L101" s="1"/>
      <c r="M101" s="1"/>
      <c r="N101" s="1"/>
      <c r="O101" s="1"/>
      <c r="P101" s="1"/>
      <c r="Q101" s="1"/>
      <c r="R101" s="136"/>
    </row>
    <row r="102" spans="1:19" ht="12.75" hidden="1" customHeight="1" x14ac:dyDescent="0.2">
      <c r="A102" s="141"/>
      <c r="B102" s="144"/>
      <c r="C102" s="1"/>
      <c r="D102" s="144"/>
      <c r="E102" s="1"/>
      <c r="F102" s="1"/>
      <c r="G102" s="144"/>
      <c r="H102" s="146"/>
      <c r="I102" s="144"/>
      <c r="J102" s="1"/>
      <c r="K102" s="1"/>
      <c r="L102" s="1"/>
      <c r="M102" s="1"/>
      <c r="N102" s="1"/>
      <c r="O102" s="1"/>
      <c r="P102" s="1"/>
      <c r="Q102" s="1"/>
      <c r="R102" s="136"/>
    </row>
    <row r="103" spans="1:19" ht="12.75" hidden="1" customHeight="1" x14ac:dyDescent="0.2">
      <c r="A103" s="141"/>
      <c r="B103" s="144"/>
      <c r="C103" s="1"/>
      <c r="D103" s="144"/>
      <c r="E103" s="1"/>
      <c r="F103" s="1"/>
      <c r="G103" s="144"/>
      <c r="H103" s="146"/>
      <c r="I103" s="144"/>
      <c r="J103" s="1"/>
      <c r="K103" s="1"/>
      <c r="L103" s="1"/>
      <c r="M103" s="1"/>
      <c r="N103" s="1"/>
      <c r="O103" s="1"/>
      <c r="P103" s="1"/>
      <c r="Q103" s="1"/>
      <c r="R103" s="136"/>
    </row>
    <row r="104" spans="1:19" ht="12.75" hidden="1" customHeight="1" x14ac:dyDescent="0.2">
      <c r="A104" s="141"/>
      <c r="B104" s="144"/>
      <c r="C104" s="1"/>
      <c r="D104" s="144"/>
      <c r="E104" s="1"/>
      <c r="F104" s="1"/>
      <c r="G104" s="144"/>
      <c r="H104" s="146"/>
      <c r="I104" s="144"/>
      <c r="J104" s="1"/>
      <c r="K104" s="1"/>
      <c r="L104" s="1"/>
      <c r="M104" s="1"/>
      <c r="N104" s="1"/>
      <c r="O104" s="1"/>
      <c r="P104" s="1"/>
      <c r="Q104" s="1"/>
      <c r="R104" s="136"/>
    </row>
    <row r="105" spans="1:19" ht="12.75" hidden="1" customHeight="1" x14ac:dyDescent="0.2">
      <c r="A105" s="141"/>
      <c r="B105" s="144"/>
      <c r="C105" s="1"/>
      <c r="D105" s="144"/>
      <c r="E105" s="1"/>
      <c r="F105" s="1"/>
      <c r="G105" s="144"/>
      <c r="H105" s="146"/>
      <c r="I105" s="144"/>
      <c r="J105" s="1"/>
      <c r="K105" s="1"/>
      <c r="L105" s="1"/>
      <c r="M105" s="1"/>
      <c r="N105" s="1"/>
      <c r="O105" s="1"/>
      <c r="P105" s="1"/>
      <c r="Q105" s="1"/>
      <c r="R105" s="136"/>
    </row>
    <row r="106" spans="1:19" ht="12.75" hidden="1" customHeight="1" x14ac:dyDescent="0.2">
      <c r="A106" s="141"/>
      <c r="B106" s="144"/>
      <c r="C106" s="1"/>
      <c r="D106" s="144"/>
      <c r="E106" s="1"/>
      <c r="F106" s="1"/>
      <c r="G106" s="144"/>
      <c r="H106" s="146"/>
      <c r="I106" s="144"/>
      <c r="J106" s="1"/>
      <c r="K106" s="1"/>
      <c r="L106" s="1"/>
      <c r="M106" s="1"/>
      <c r="N106" s="1"/>
      <c r="O106" s="1"/>
      <c r="P106" s="1"/>
      <c r="Q106" s="1"/>
      <c r="R106" s="136"/>
    </row>
    <row r="107" spans="1:19" ht="12.75" hidden="1" customHeight="1" x14ac:dyDescent="0.2">
      <c r="A107" s="141"/>
      <c r="B107" s="144"/>
      <c r="C107" s="1"/>
      <c r="D107" s="144"/>
      <c r="E107" s="1"/>
      <c r="F107" s="1"/>
      <c r="G107" s="144"/>
      <c r="H107" s="146"/>
      <c r="I107" s="144"/>
      <c r="J107" s="1"/>
      <c r="K107" s="1"/>
      <c r="L107" s="1"/>
      <c r="M107" s="1"/>
      <c r="N107" s="1"/>
      <c r="O107" s="1"/>
      <c r="P107" s="1"/>
      <c r="Q107" s="1"/>
      <c r="R107" s="136"/>
    </row>
    <row r="108" spans="1:19" ht="12.75" hidden="1" customHeight="1" x14ac:dyDescent="0.2">
      <c r="A108" s="141"/>
      <c r="B108" s="144"/>
      <c r="C108" s="1"/>
      <c r="D108" s="144"/>
      <c r="E108" s="1"/>
      <c r="F108" s="1"/>
      <c r="G108" s="144"/>
      <c r="H108" s="146"/>
      <c r="I108" s="144"/>
      <c r="J108" s="1"/>
      <c r="K108" s="1"/>
      <c r="L108" s="1"/>
      <c r="M108" s="1"/>
      <c r="N108" s="1"/>
      <c r="O108" s="1"/>
      <c r="P108" s="1"/>
      <c r="Q108" s="1"/>
      <c r="R108" s="136"/>
    </row>
    <row r="109" spans="1:19" ht="12.75" hidden="1" customHeight="1" x14ac:dyDescent="0.2">
      <c r="A109" s="141"/>
      <c r="B109" s="144"/>
      <c r="C109" s="1"/>
      <c r="D109" s="144"/>
      <c r="E109" s="1"/>
      <c r="F109" s="1"/>
      <c r="G109" s="144"/>
      <c r="H109" s="146"/>
      <c r="I109" s="144"/>
      <c r="J109" s="1"/>
      <c r="K109" s="1"/>
      <c r="L109" s="1"/>
      <c r="M109" s="1"/>
      <c r="N109" s="1"/>
      <c r="O109" s="1"/>
      <c r="P109" s="1"/>
      <c r="Q109" s="1"/>
      <c r="R109" s="136"/>
    </row>
    <row r="110" spans="1:19" ht="12.75" hidden="1" customHeight="1" x14ac:dyDescent="0.2">
      <c r="A110" s="141"/>
      <c r="B110" s="144"/>
      <c r="C110" s="1"/>
      <c r="D110" s="144"/>
      <c r="E110" s="1"/>
      <c r="F110" s="1"/>
      <c r="G110" s="144"/>
      <c r="H110" s="146"/>
      <c r="I110" s="144"/>
      <c r="J110" s="1"/>
      <c r="K110" s="1"/>
      <c r="L110" s="1"/>
      <c r="M110" s="1"/>
      <c r="N110" s="1"/>
      <c r="O110" s="1"/>
      <c r="P110" s="1"/>
      <c r="Q110" s="1"/>
      <c r="R110" s="136"/>
    </row>
    <row r="111" spans="1:19" ht="12.75" hidden="1" customHeight="1" x14ac:dyDescent="0.2">
      <c r="A111" s="141"/>
      <c r="B111" s="144"/>
      <c r="C111" s="1"/>
      <c r="D111" s="144"/>
      <c r="E111" s="1"/>
      <c r="F111" s="1"/>
      <c r="G111" s="144"/>
      <c r="H111" s="146"/>
      <c r="I111" s="144"/>
      <c r="J111" s="1"/>
      <c r="K111" s="1"/>
      <c r="L111" s="1"/>
      <c r="M111" s="1"/>
      <c r="N111" s="1"/>
      <c r="O111" s="1"/>
      <c r="P111" s="1"/>
      <c r="Q111" s="1"/>
      <c r="R111" s="136"/>
    </row>
    <row r="112" spans="1:19" ht="12.75" hidden="1" customHeight="1" thickBot="1" x14ac:dyDescent="0.25">
      <c r="A112" s="152"/>
      <c r="B112" s="153"/>
      <c r="C112" s="153"/>
      <c r="D112" s="154"/>
      <c r="E112" s="154"/>
      <c r="F112" s="154"/>
      <c r="G112" s="154"/>
      <c r="H112" s="155"/>
      <c r="I112" s="154"/>
      <c r="J112" s="154"/>
      <c r="K112" s="154"/>
      <c r="L112" s="154"/>
      <c r="M112" s="154"/>
      <c r="N112" s="155"/>
      <c r="O112" s="156"/>
      <c r="P112" s="156"/>
      <c r="Q112" s="156"/>
      <c r="R112" s="157"/>
    </row>
    <row r="113" spans="1:18" ht="12.75" customHeight="1" thickTop="1" x14ac:dyDescent="0.2">
      <c r="A113" s="116" t="s">
        <v>60</v>
      </c>
      <c r="B113" s="115" t="s">
        <v>16</v>
      </c>
      <c r="C113" s="118" t="s">
        <v>63</v>
      </c>
      <c r="R113" s="2"/>
    </row>
    <row r="114" spans="1:18" ht="12.75" customHeight="1" x14ac:dyDescent="0.25">
      <c r="A114" s="117" t="s">
        <v>2</v>
      </c>
      <c r="B114" s="97" t="s">
        <v>19</v>
      </c>
      <c r="C114" s="20" t="s">
        <v>66</v>
      </c>
      <c r="L114" s="98"/>
      <c r="M114" s="99"/>
      <c r="N114" s="99"/>
      <c r="O114" s="99"/>
      <c r="P114" s="99"/>
      <c r="Q114" s="99"/>
      <c r="R114" s="2"/>
    </row>
    <row r="115" spans="1:18" ht="14.25" x14ac:dyDescent="0.2">
      <c r="A115" s="117" t="s">
        <v>10</v>
      </c>
      <c r="B115" s="100"/>
      <c r="C115" s="20"/>
      <c r="L115" s="99"/>
      <c r="M115" s="99"/>
      <c r="N115" s="99"/>
      <c r="O115" s="99"/>
      <c r="P115" s="99"/>
      <c r="Q115" s="99"/>
      <c r="R115" s="2"/>
    </row>
    <row r="116" spans="1:18" ht="15" x14ac:dyDescent="0.25">
      <c r="A116" s="101"/>
      <c r="B116" s="100"/>
      <c r="C116" s="102"/>
      <c r="L116" s="103"/>
      <c r="M116" s="103"/>
      <c r="N116" s="98"/>
      <c r="O116" s="98"/>
      <c r="P116" s="98"/>
      <c r="Q116" s="98"/>
      <c r="R116" s="2"/>
    </row>
    <row r="117" spans="1:18" ht="15" x14ac:dyDescent="0.25">
      <c r="A117" s="21">
        <v>50</v>
      </c>
      <c r="B117" s="104" t="s">
        <v>68</v>
      </c>
      <c r="C117" s="19">
        <v>1</v>
      </c>
      <c r="L117" s="103"/>
      <c r="M117" s="103"/>
      <c r="N117" s="103"/>
      <c r="O117" s="103"/>
      <c r="P117" s="103"/>
      <c r="Q117" s="98"/>
      <c r="R117" s="2"/>
    </row>
    <row r="118" spans="1:18" ht="15" x14ac:dyDescent="0.25">
      <c r="A118" s="117">
        <v>65</v>
      </c>
      <c r="B118" s="105" t="s">
        <v>68</v>
      </c>
      <c r="C118" s="20">
        <v>1</v>
      </c>
      <c r="L118" s="103"/>
      <c r="M118" s="103"/>
      <c r="N118" s="98"/>
      <c r="O118" s="98"/>
      <c r="P118" s="106"/>
      <c r="Q118" s="98"/>
      <c r="R118" s="2"/>
    </row>
    <row r="119" spans="1:18" ht="15" x14ac:dyDescent="0.25">
      <c r="A119" s="21">
        <v>80</v>
      </c>
      <c r="B119" s="104" t="s">
        <v>68</v>
      </c>
      <c r="C119" s="19">
        <v>1</v>
      </c>
      <c r="L119" s="103"/>
      <c r="M119" s="103"/>
      <c r="N119" s="98"/>
      <c r="O119" s="98"/>
      <c r="P119" s="107"/>
      <c r="Q119" s="98"/>
      <c r="R119" s="2"/>
    </row>
    <row r="120" spans="1:18" ht="15" x14ac:dyDescent="0.25">
      <c r="A120" s="117">
        <v>100</v>
      </c>
      <c r="B120" s="105" t="s">
        <v>69</v>
      </c>
      <c r="C120" s="20">
        <v>2</v>
      </c>
      <c r="L120" s="103"/>
      <c r="M120" s="103"/>
      <c r="N120" s="98"/>
      <c r="O120" s="98"/>
      <c r="P120" s="98"/>
      <c r="Q120" s="98"/>
      <c r="R120" s="2"/>
    </row>
    <row r="121" spans="1:18" ht="15" x14ac:dyDescent="0.25">
      <c r="A121" s="21">
        <v>125</v>
      </c>
      <c r="B121" s="104" t="s">
        <v>70</v>
      </c>
      <c r="C121" s="19">
        <v>3</v>
      </c>
      <c r="L121" s="106"/>
      <c r="M121" s="103"/>
      <c r="N121" s="108"/>
      <c r="O121" s="98"/>
      <c r="P121" s="109"/>
      <c r="Q121" s="98"/>
      <c r="R121" s="2"/>
    </row>
    <row r="122" spans="1:18" ht="15" x14ac:dyDescent="0.25">
      <c r="A122" s="117">
        <v>150</v>
      </c>
      <c r="B122" s="105" t="s">
        <v>71</v>
      </c>
      <c r="C122" s="20">
        <v>4</v>
      </c>
      <c r="L122" s="106"/>
      <c r="M122" s="103"/>
      <c r="N122" s="108"/>
      <c r="O122" s="98"/>
      <c r="P122" s="109"/>
      <c r="Q122" s="98"/>
      <c r="R122" s="2"/>
    </row>
    <row r="123" spans="1:18" ht="15" x14ac:dyDescent="0.25">
      <c r="A123" s="21">
        <v>200</v>
      </c>
      <c r="B123" s="104" t="s">
        <v>72</v>
      </c>
      <c r="C123" s="19">
        <v>7</v>
      </c>
      <c r="L123" s="110"/>
      <c r="M123" s="103"/>
      <c r="N123" s="98"/>
      <c r="O123" s="98"/>
      <c r="P123" s="98"/>
      <c r="Q123" s="98"/>
      <c r="R123" s="2"/>
    </row>
    <row r="124" spans="1:18" x14ac:dyDescent="0.2">
      <c r="A124" s="117">
        <v>250</v>
      </c>
      <c r="B124" s="105" t="s">
        <v>73</v>
      </c>
      <c r="C124" s="20">
        <v>12</v>
      </c>
      <c r="L124" s="9"/>
      <c r="M124" s="9"/>
      <c r="R124" s="2"/>
    </row>
    <row r="125" spans="1:18" x14ac:dyDescent="0.2">
      <c r="A125" s="21">
        <v>300</v>
      </c>
      <c r="B125" s="104" t="s">
        <v>74</v>
      </c>
      <c r="C125" s="19">
        <v>15</v>
      </c>
      <c r="L125" s="9"/>
      <c r="M125" s="9"/>
      <c r="R125" s="2"/>
    </row>
    <row r="126" spans="1:18" x14ac:dyDescent="0.2">
      <c r="A126" s="117">
        <v>350</v>
      </c>
      <c r="B126" s="105" t="s">
        <v>75</v>
      </c>
      <c r="C126" s="20">
        <v>19</v>
      </c>
      <c r="L126" s="9"/>
      <c r="M126" s="9"/>
      <c r="R126" s="2"/>
    </row>
    <row r="127" spans="1:18" x14ac:dyDescent="0.2">
      <c r="A127" s="21">
        <v>400</v>
      </c>
      <c r="B127" s="104" t="s">
        <v>76</v>
      </c>
      <c r="C127" s="19">
        <v>26</v>
      </c>
      <c r="L127" s="9"/>
      <c r="M127" s="9"/>
      <c r="R127" s="2"/>
    </row>
    <row r="128" spans="1:18" ht="13.5" thickBot="1" x14ac:dyDescent="0.25">
      <c r="A128" s="123">
        <v>450</v>
      </c>
      <c r="B128" s="124" t="s">
        <v>77</v>
      </c>
      <c r="C128" s="125">
        <v>33</v>
      </c>
      <c r="D128" s="160"/>
      <c r="E128" s="5"/>
      <c r="F128" s="5"/>
      <c r="G128" s="5"/>
      <c r="H128" s="5"/>
      <c r="I128" s="5"/>
      <c r="J128" s="5"/>
      <c r="K128" s="5"/>
      <c r="L128" s="126"/>
      <c r="M128" s="126"/>
      <c r="N128" s="5"/>
      <c r="O128" s="5"/>
      <c r="P128" s="5"/>
      <c r="Q128" s="5"/>
      <c r="R128" s="6"/>
    </row>
    <row r="129" spans="4:4" ht="13.5" thickTop="1" x14ac:dyDescent="0.2"/>
    <row r="134" spans="4:4" x14ac:dyDescent="0.2">
      <c r="D134" s="4"/>
    </row>
  </sheetData>
  <sheetProtection sheet="1" objects="1" scenarios="1"/>
  <mergeCells count="6">
    <mergeCell ref="B1:P1"/>
    <mergeCell ref="A2:R2"/>
    <mergeCell ref="N8:Q8"/>
    <mergeCell ref="C49:I49"/>
    <mergeCell ref="C50:F50"/>
    <mergeCell ref="G50:I50"/>
  </mergeCells>
  <pageMargins left="0.19685039370078741" right="0.19685039370078741" top="0.59055118110236227" bottom="0.19685039370078741" header="0.51181102362204722" footer="0.51181102362204722"/>
  <pageSetup paperSize="9" scale="94" orientation="landscape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C65AA4-2658-442B-BA8E-7F36CD343A36}">
  <dimension ref="A1:O82"/>
  <sheetViews>
    <sheetView zoomScaleNormal="100" workbookViewId="0">
      <selection activeCell="F86" sqref="F86"/>
    </sheetView>
  </sheetViews>
  <sheetFormatPr defaultRowHeight="12.75" x14ac:dyDescent="0.2"/>
  <cols>
    <col min="1" max="9" width="16.7109375" customWidth="1"/>
  </cols>
  <sheetData>
    <row r="1" spans="1:9" ht="20.25" x14ac:dyDescent="0.3">
      <c r="A1" s="584" t="s">
        <v>619</v>
      </c>
      <c r="B1" s="585"/>
      <c r="C1" s="585"/>
      <c r="D1" s="585"/>
      <c r="E1" s="585"/>
      <c r="F1" s="585"/>
      <c r="G1" s="585"/>
      <c r="H1" s="585"/>
      <c r="I1" s="586"/>
    </row>
    <row r="2" spans="1:9" ht="21" thickBot="1" x14ac:dyDescent="0.35">
      <c r="A2" s="587" t="s">
        <v>566</v>
      </c>
      <c r="B2" s="499"/>
      <c r="C2" s="499"/>
      <c r="D2" s="499"/>
      <c r="E2" s="499"/>
      <c r="F2" s="499"/>
      <c r="G2" s="499"/>
      <c r="H2" s="499"/>
      <c r="I2" s="588"/>
    </row>
    <row r="3" spans="1:9" ht="13.5" thickTop="1" x14ac:dyDescent="0.2">
      <c r="A3" s="445"/>
      <c r="B3" s="423"/>
      <c r="C3" s="423"/>
      <c r="D3" s="411"/>
      <c r="E3" s="411"/>
      <c r="F3" s="411"/>
      <c r="G3" s="411"/>
      <c r="H3" s="411"/>
      <c r="I3" s="410"/>
    </row>
    <row r="4" spans="1:9" x14ac:dyDescent="0.2">
      <c r="A4" s="413"/>
      <c r="B4" s="446" t="s">
        <v>1</v>
      </c>
      <c r="C4" s="411"/>
      <c r="D4" s="423"/>
      <c r="E4" s="411"/>
      <c r="F4" s="411"/>
      <c r="G4" s="411"/>
      <c r="H4" s="411"/>
      <c r="I4" s="410"/>
    </row>
    <row r="5" spans="1:9" x14ac:dyDescent="0.2">
      <c r="A5" s="445" t="s">
        <v>545</v>
      </c>
      <c r="B5" s="203">
        <v>30</v>
      </c>
      <c r="C5" s="184" t="s">
        <v>445</v>
      </c>
      <c r="D5" s="423"/>
      <c r="E5" s="411"/>
      <c r="F5" s="411"/>
      <c r="G5" s="411"/>
      <c r="H5" s="411"/>
      <c r="I5" s="410"/>
    </row>
    <row r="6" spans="1:9" ht="13.5" thickBot="1" x14ac:dyDescent="0.25">
      <c r="A6" s="445" t="s">
        <v>546</v>
      </c>
      <c r="B6" s="203">
        <v>830</v>
      </c>
      <c r="C6" s="184" t="s">
        <v>445</v>
      </c>
      <c r="D6" s="411"/>
      <c r="E6" s="411"/>
      <c r="F6" s="411"/>
      <c r="G6" s="411"/>
      <c r="H6" s="411"/>
      <c r="I6" s="410"/>
    </row>
    <row r="7" spans="1:9" ht="14.25" thickTop="1" thickBot="1" x14ac:dyDescent="0.25">
      <c r="A7" s="413"/>
      <c r="B7" s="411"/>
      <c r="C7" s="411"/>
      <c r="D7" s="501" t="s">
        <v>547</v>
      </c>
      <c r="E7" s="504"/>
      <c r="F7" s="501" t="s">
        <v>548</v>
      </c>
      <c r="G7" s="589"/>
      <c r="H7" s="501" t="s">
        <v>626</v>
      </c>
      <c r="I7" s="590"/>
    </row>
    <row r="8" spans="1:9" x14ac:dyDescent="0.2">
      <c r="A8" s="514" t="s">
        <v>137</v>
      </c>
      <c r="B8" s="515" t="s">
        <v>136</v>
      </c>
      <c r="C8" s="516"/>
      <c r="D8" s="444" t="s">
        <v>549</v>
      </c>
      <c r="E8" s="443" t="s">
        <v>550</v>
      </c>
      <c r="F8" s="441" t="s">
        <v>549</v>
      </c>
      <c r="G8" s="442" t="s">
        <v>550</v>
      </c>
      <c r="H8" s="441" t="s">
        <v>549</v>
      </c>
      <c r="I8" s="280" t="s">
        <v>550</v>
      </c>
    </row>
    <row r="9" spans="1:9" x14ac:dyDescent="0.2">
      <c r="A9" s="591"/>
      <c r="B9" s="435" t="s">
        <v>551</v>
      </c>
      <c r="C9" s="280" t="s">
        <v>186</v>
      </c>
      <c r="D9" s="440" t="s">
        <v>552</v>
      </c>
      <c r="E9" s="417" t="s">
        <v>552</v>
      </c>
      <c r="F9" s="438" t="s">
        <v>131</v>
      </c>
      <c r="G9" s="439" t="s">
        <v>131</v>
      </c>
      <c r="H9" s="438" t="s">
        <v>627</v>
      </c>
      <c r="I9" s="437" t="s">
        <v>627</v>
      </c>
    </row>
    <row r="10" spans="1:9" x14ac:dyDescent="0.2">
      <c r="A10" s="436" t="s">
        <v>184</v>
      </c>
      <c r="B10" s="435" t="s">
        <v>620</v>
      </c>
      <c r="C10" s="280" t="s">
        <v>553</v>
      </c>
      <c r="D10" s="427">
        <f>IF(D34="UDEN FOR OMRÅDET","NOT POSSIBLE",VLOOKUP($J$34,A39:D57,4))</f>
        <v>0.5</v>
      </c>
      <c r="E10" s="417">
        <f>IF(E34="UDEN FOR OMRÅDET","NOT POSSIBLE",VLOOKUP($J$35,A39:D57,4))</f>
        <v>4</v>
      </c>
      <c r="F10" s="430">
        <f>IF(D34="UDEN FOR OMRÅDET","NOT POSSIBLE",VLOOKUP($J$34,A39:E57,5))</f>
        <v>4</v>
      </c>
      <c r="G10" s="431">
        <f>IF(E34="UDEN FOR OMRÅDET","NOT POSSIBLE",VLOOKUP($J$35,A39:E57,5))</f>
        <v>19</v>
      </c>
      <c r="H10" s="430">
        <f>IF(D34="UDEN FOR OMRÅDET","NOT POSSIBLE",VLOOKUP($J$34,A39:H57,8))</f>
        <v>10</v>
      </c>
      <c r="I10" s="429">
        <f>IF(E34="UDEN FOR OMRÅDET","NOT POSSIBLE",VLOOKUP($J$35,A39:H57,8))</f>
        <v>26</v>
      </c>
    </row>
    <row r="11" spans="1:9" x14ac:dyDescent="0.2">
      <c r="A11" s="434" t="s">
        <v>554</v>
      </c>
      <c r="B11" s="433" t="s">
        <v>555</v>
      </c>
      <c r="C11" s="432" t="s">
        <v>556</v>
      </c>
      <c r="D11" s="427" t="str">
        <f>IF(D35="UDEN FOR OMRÅDET","NOT POSSIBLE",VLOOKUP($K$34,B42:D57,3))</f>
        <v>NOT POSSIBLE</v>
      </c>
      <c r="E11" s="417">
        <f>IF(E35="UDEN FOR OMRÅDET","NOT POSSIBLE",VLOOKUP($K$35,B42:D57,3))</f>
        <v>2.8</v>
      </c>
      <c r="F11" s="430" t="str">
        <f>IF(D35="UDEN FOR OMRÅDET","NOT POSSIBLE",VLOOKUP($K$34,B42:F57,5))</f>
        <v>NOT POSSIBLE</v>
      </c>
      <c r="G11" s="431">
        <f>IF(E35="UDEN FOR OMRÅDET","NOT POSSIBLE",VLOOKUP($K$35,B42:F57,5))</f>
        <v>18</v>
      </c>
      <c r="H11" s="430" t="str">
        <f>IF(D35="UDEN FOR OMRÅDET","NOT POSSIBLE",VLOOKUP($K$34,B42:I57,8))</f>
        <v>NOT POSSIBLE</v>
      </c>
      <c r="I11" s="429">
        <f>IF(E35="UDEN FOR OMRÅDET","NOT POSSIBLE",VLOOKUP($K$35,B42:I57,8))</f>
        <v>25</v>
      </c>
    </row>
    <row r="12" spans="1:9" ht="13.5" thickBot="1" x14ac:dyDescent="0.25">
      <c r="A12" s="428" t="s">
        <v>557</v>
      </c>
      <c r="B12" s="313" t="s">
        <v>558</v>
      </c>
      <c r="C12" s="290" t="s">
        <v>168</v>
      </c>
      <c r="D12" s="427" t="str">
        <f>IF(D36="UDEN FOR OMRÅDET","NOT POSSIBLE",VLOOKUP($L$34,C42:D57,2))</f>
        <v>NOT POSSIBLE</v>
      </c>
      <c r="E12" s="414">
        <f>IF(E36="UDEN FOR OMRÅDET","NOT POSSIBLE",VLOOKUP($L$35,C42:D57,2))</f>
        <v>1.6</v>
      </c>
      <c r="F12" s="425" t="str">
        <f>IF(D36="UDEN FOR OMRÅDET","NOT POSSIBLE",VLOOKUP($L$34,C42:G57,5))</f>
        <v>NOT POSSIBLE</v>
      </c>
      <c r="G12" s="426">
        <f>IF(E36="UDEN FOR OMRÅDET","NOT POSSIBLE",VLOOKUP($L$35,C42:G57,5))</f>
        <v>18</v>
      </c>
      <c r="H12" s="425" t="str">
        <f>IF(D36="UDEN FOR OMRÅDET","NOT POSSIBLE",VLOOKUP($L$34,C42:J57,8))</f>
        <v>NOT POSSIBLE</v>
      </c>
      <c r="I12" s="424">
        <f>IF(E36="UDEN FOR OMRÅDET","NOT POSSIBLE",VLOOKUP($L$35,C42:J57,8))</f>
        <v>19</v>
      </c>
    </row>
    <row r="13" spans="1:9" ht="13.5" thickTop="1" x14ac:dyDescent="0.2">
      <c r="D13" s="574" t="s">
        <v>559</v>
      </c>
      <c r="E13" s="575"/>
      <c r="F13" s="423"/>
      <c r="G13" s="411"/>
      <c r="H13" s="411"/>
      <c r="I13" s="410"/>
    </row>
    <row r="14" spans="1:9" ht="13.5" thickBot="1" x14ac:dyDescent="0.25">
      <c r="D14" s="576" t="s">
        <v>560</v>
      </c>
      <c r="E14" s="577"/>
      <c r="F14" s="423"/>
      <c r="G14" s="411"/>
      <c r="H14" s="411"/>
      <c r="I14" s="410"/>
    </row>
    <row r="15" spans="1:9" ht="14.25" thickTop="1" thickBot="1" x14ac:dyDescent="0.25">
      <c r="A15" s="413"/>
      <c r="B15" s="423"/>
      <c r="C15" s="411"/>
      <c r="D15" s="411"/>
      <c r="E15" s="411"/>
      <c r="F15" s="411"/>
      <c r="G15" s="411"/>
      <c r="H15" s="411"/>
      <c r="I15" s="410"/>
    </row>
    <row r="16" spans="1:9" ht="14.25" thickTop="1" thickBot="1" x14ac:dyDescent="0.25">
      <c r="A16" s="229"/>
      <c r="B16" s="578" t="s">
        <v>561</v>
      </c>
      <c r="C16" s="579"/>
      <c r="D16" s="579"/>
      <c r="E16" s="580"/>
      <c r="F16" s="411"/>
      <c r="G16" s="411"/>
      <c r="H16" s="411"/>
      <c r="I16" s="410"/>
    </row>
    <row r="17" spans="1:12" ht="13.5" thickTop="1" x14ac:dyDescent="0.2">
      <c r="A17" s="581" t="s">
        <v>137</v>
      </c>
      <c r="B17" s="502" t="s">
        <v>549</v>
      </c>
      <c r="C17" s="583"/>
      <c r="D17" s="502" t="s">
        <v>550</v>
      </c>
      <c r="E17" s="583"/>
      <c r="F17" s="411"/>
      <c r="G17" s="411"/>
      <c r="H17" s="411"/>
      <c r="I17" s="410"/>
    </row>
    <row r="18" spans="1:12" ht="25.5" x14ac:dyDescent="0.2">
      <c r="A18" s="582"/>
      <c r="B18" s="422" t="s">
        <v>562</v>
      </c>
      <c r="C18" s="421" t="s">
        <v>563</v>
      </c>
      <c r="D18" s="422" t="s">
        <v>562</v>
      </c>
      <c r="E18" s="421" t="s">
        <v>563</v>
      </c>
      <c r="F18" s="411"/>
      <c r="G18" s="411"/>
      <c r="H18" s="411"/>
      <c r="I18" s="410"/>
    </row>
    <row r="19" spans="1:12" x14ac:dyDescent="0.2">
      <c r="A19" s="420" t="s">
        <v>184</v>
      </c>
      <c r="B19" s="418">
        <f>IF(D34="UDEN FOR OMRÅDET","NOT POSSIBLE",(VLOOKUP($J$34,A62:E80,5)))</f>
        <v>3.9</v>
      </c>
      <c r="C19" s="417">
        <f>IF(D34="UDEN FOR OMRÅDET","NOT POSSIBLE",(VLOOKUP($J$34,A62:G80,7)))</f>
        <v>10.199999999999999</v>
      </c>
      <c r="D19" s="418">
        <f>IF(E34="UDEN FOR OMRÅDET","NOT POSSIBLE",(VLOOKUP($J$35,A62:D80,4)))</f>
        <v>10</v>
      </c>
      <c r="E19" s="417">
        <f>IF(E34="UDEN FOR OMRÅDET","NOT POSSIBLE",(VLOOKUP($J$35,A62:F80,6)))</f>
        <v>20</v>
      </c>
      <c r="F19" s="411"/>
      <c r="G19" s="411"/>
      <c r="H19" s="411"/>
      <c r="I19" s="410"/>
    </row>
    <row r="20" spans="1:12" x14ac:dyDescent="0.2">
      <c r="A20" s="419" t="s">
        <v>554</v>
      </c>
      <c r="B20" s="418" t="str">
        <f>IF(D35="UDEN FOR OMRÅDET","NOT POSSIBLE",(VLOOKUP($K$34,B65:I80,8)))</f>
        <v>NOT POSSIBLE</v>
      </c>
      <c r="C20" s="417" t="str">
        <f>IF(D35="UDEN FOR OMRÅDET","NOT POSSIBLE",(VLOOKUP($K$34,B65:K80,10)))</f>
        <v>NOT POSSIBLE</v>
      </c>
      <c r="D20" s="418">
        <f>IF(E35="UDEN FOR OMRÅDET","NOT POSSIBLE",(VLOOKUP($K$35,B65:H80,7)))</f>
        <v>8.6999999999999993</v>
      </c>
      <c r="E20" s="417">
        <f>IF(E35="UDEN FOR OMRÅDET","NOT POSSIBLE",(VLOOKUP($K$35,B65:J80,9)))</f>
        <v>17.899999999999999</v>
      </c>
      <c r="F20" s="411"/>
      <c r="G20" s="411"/>
      <c r="H20" s="411"/>
      <c r="I20" s="410"/>
    </row>
    <row r="21" spans="1:12" ht="13.5" thickBot="1" x14ac:dyDescent="0.25">
      <c r="A21" s="416" t="s">
        <v>557</v>
      </c>
      <c r="B21" s="415" t="str">
        <f>IF(D36="UDEN FOR OMRÅDET","NOT POSSIBLE",(VLOOKUP($L$34,C65:M80,11)))</f>
        <v>NOT POSSIBLE</v>
      </c>
      <c r="C21" s="414" t="str">
        <f>IF(D36="UDEN FOR OMRÅDET","NOT POSSIBLE",(VLOOKUP($L$34,C65:O80,13)))</f>
        <v>NOT POSSIBLE</v>
      </c>
      <c r="D21" s="415">
        <f>IF(E36="UDEN FOR OMRÅDET","NOT POSSIBLE",(VLOOKUP($L$35,C65:L80,10)))</f>
        <v>7.3</v>
      </c>
      <c r="E21" s="414">
        <f>IF(E36="UDEN FOR OMRÅDET","NOT POSSIBLE",(VLOOKUP($L$35,C65:N80,12)))</f>
        <v>15.7</v>
      </c>
      <c r="F21" s="411"/>
      <c r="G21" s="411"/>
      <c r="H21" s="411"/>
      <c r="I21" s="410"/>
    </row>
    <row r="22" spans="1:12" ht="13.5" thickTop="1" x14ac:dyDescent="0.2">
      <c r="A22" s="413"/>
      <c r="B22" s="411"/>
      <c r="C22" s="411"/>
      <c r="D22" s="411"/>
      <c r="E22" s="411"/>
      <c r="F22" s="411"/>
      <c r="G22" s="411"/>
      <c r="H22" s="411"/>
      <c r="I22" s="410"/>
    </row>
    <row r="23" spans="1:12" x14ac:dyDescent="0.2">
      <c r="A23" s="413"/>
      <c r="B23" s="411"/>
      <c r="C23" s="411"/>
      <c r="D23" s="411"/>
      <c r="E23" s="411"/>
      <c r="F23" s="411"/>
      <c r="G23" s="411"/>
      <c r="H23" s="411"/>
      <c r="I23" s="410"/>
    </row>
    <row r="24" spans="1:12" x14ac:dyDescent="0.2">
      <c r="A24" s="413"/>
      <c r="B24" s="411"/>
      <c r="C24" s="411"/>
      <c r="D24" s="411"/>
      <c r="E24" s="411"/>
      <c r="F24" s="411"/>
      <c r="G24" s="411"/>
      <c r="H24" s="411"/>
      <c r="I24" s="410"/>
    </row>
    <row r="25" spans="1:12" x14ac:dyDescent="0.2">
      <c r="A25" s="413"/>
      <c r="B25" s="411"/>
      <c r="C25" s="411"/>
      <c r="D25" s="411"/>
      <c r="E25" s="411"/>
      <c r="F25" s="411"/>
      <c r="G25" s="411"/>
      <c r="H25" s="411"/>
      <c r="I25" s="410"/>
    </row>
    <row r="26" spans="1:12" x14ac:dyDescent="0.2">
      <c r="A26" s="413"/>
      <c r="B26" s="411"/>
      <c r="C26" s="411"/>
      <c r="D26" s="411"/>
      <c r="E26" s="411"/>
      <c r="F26" s="411"/>
      <c r="G26" s="411"/>
      <c r="H26" s="411"/>
      <c r="I26" s="410"/>
    </row>
    <row r="27" spans="1:12" x14ac:dyDescent="0.2">
      <c r="A27" s="413"/>
      <c r="B27" s="411"/>
      <c r="C27" s="411"/>
      <c r="D27" s="411"/>
      <c r="E27" s="411"/>
      <c r="F27" s="411"/>
      <c r="G27" s="411"/>
      <c r="H27" s="411"/>
      <c r="I27" s="410"/>
    </row>
    <row r="28" spans="1:12" x14ac:dyDescent="0.2">
      <c r="A28" s="413"/>
      <c r="B28" s="411"/>
      <c r="C28" s="411"/>
      <c r="D28" s="411"/>
      <c r="E28" s="411"/>
      <c r="F28" s="411"/>
      <c r="G28" s="411"/>
      <c r="H28" s="411"/>
      <c r="I28" s="410"/>
    </row>
    <row r="29" spans="1:12" x14ac:dyDescent="0.2">
      <c r="A29" s="413"/>
      <c r="B29" s="411"/>
      <c r="C29" s="411"/>
      <c r="D29" s="411"/>
      <c r="E29" s="412"/>
      <c r="F29" s="411"/>
      <c r="G29" s="411"/>
      <c r="H29" s="411"/>
      <c r="I29" s="410"/>
    </row>
    <row r="30" spans="1:12" ht="13.5" thickBot="1" x14ac:dyDescent="0.25">
      <c r="A30" s="409" t="s">
        <v>127</v>
      </c>
      <c r="B30" s="408"/>
      <c r="C30" s="408"/>
      <c r="D30" s="408"/>
      <c r="E30" s="408"/>
      <c r="F30" s="408"/>
      <c r="G30" s="408"/>
      <c r="H30" s="408"/>
      <c r="I30" s="407"/>
    </row>
    <row r="32" spans="1:12" ht="14.25" hidden="1" thickTop="1" thickBot="1" x14ac:dyDescent="0.25">
      <c r="D32" s="406" t="s">
        <v>621</v>
      </c>
      <c r="E32" s="406" t="s">
        <v>622</v>
      </c>
      <c r="F32" s="201" t="s">
        <v>623</v>
      </c>
      <c r="G32" s="370" t="s">
        <v>624</v>
      </c>
      <c r="I32" s="562" t="s">
        <v>633</v>
      </c>
      <c r="J32" s="563"/>
      <c r="K32" s="563"/>
      <c r="L32" s="564"/>
    </row>
    <row r="33" spans="1:12" ht="13.5" hidden="1" thickTop="1" x14ac:dyDescent="0.2">
      <c r="A33" s="201" t="s">
        <v>126</v>
      </c>
      <c r="B33" s="200" t="s">
        <v>0</v>
      </c>
      <c r="C33" s="200" t="s">
        <v>125</v>
      </c>
      <c r="D33" s="369" t="s">
        <v>564</v>
      </c>
      <c r="E33" s="370" t="s">
        <v>564</v>
      </c>
      <c r="F33" s="404">
        <f>-10*D10-5</f>
        <v>-10</v>
      </c>
      <c r="G33" s="403">
        <f t="shared" ref="F33:G35" si="0">-10*E10-5</f>
        <v>-45</v>
      </c>
      <c r="I33" s="379"/>
      <c r="J33" s="386" t="s">
        <v>184</v>
      </c>
      <c r="K33" s="386" t="s">
        <v>554</v>
      </c>
      <c r="L33" s="385" t="s">
        <v>557</v>
      </c>
    </row>
    <row r="34" spans="1:12" hidden="1" x14ac:dyDescent="0.2">
      <c r="A34" s="400" t="s">
        <v>184</v>
      </c>
      <c r="B34" s="368">
        <v>30</v>
      </c>
      <c r="C34" s="405">
        <v>830</v>
      </c>
      <c r="D34" s="399">
        <f>IF($B$5&lt;=B34-1,"UDEN FOR OMRÅDET",IF($B$5&gt;=C34+1,"UDEN FOR OMRÅDET",$B$5))</f>
        <v>30</v>
      </c>
      <c r="E34" s="398">
        <f>IF($B$6&lt;=B34-1,"UDEN FOR OMRÅDET",IF($B$6&gt;=C34+1,"UDEN FOR OMRÅDET",$B$6))</f>
        <v>830</v>
      </c>
      <c r="F34" s="404" t="e">
        <f t="shared" si="0"/>
        <v>#VALUE!</v>
      </c>
      <c r="G34" s="403">
        <f t="shared" si="0"/>
        <v>-33</v>
      </c>
      <c r="I34" s="379" t="s">
        <v>549</v>
      </c>
      <c r="J34" s="402" cm="1">
        <f t="array" ref="J34">INDEX(A39:A57,MATCH(MIN(ABS(A39:A57-B5)),ABS(A39:A57-B5),0))</f>
        <v>30</v>
      </c>
      <c r="K34" s="402" cm="1">
        <f t="array" ref="K34">INDEX(B42:B57,MATCH(MIN(ABS(B42:B57-B5)),ABS(B42:B57-B5),0))</f>
        <v>210</v>
      </c>
      <c r="L34" s="401" cm="1">
        <f t="array" ref="L34">INDEX(C42:C57,MATCH(MIN(ABS(C42:C57-B5)),ABS(C42:C57-B5),0))</f>
        <v>460</v>
      </c>
    </row>
    <row r="35" spans="1:12" ht="13.5" hidden="1" thickBot="1" x14ac:dyDescent="0.25">
      <c r="A35" s="400" t="s">
        <v>554</v>
      </c>
      <c r="B35" s="386">
        <v>210</v>
      </c>
      <c r="C35" s="386">
        <v>1200</v>
      </c>
      <c r="D35" s="399" t="str">
        <f>IF($B$5&lt;=B35-1,"UDEN FOR OMRÅDET",IF($B$5&gt;=C35+1,"UDEN FOR OMRÅDET",$B$5))</f>
        <v>UDEN FOR OMRÅDET</v>
      </c>
      <c r="E35" s="398">
        <f t="shared" ref="E35:E36" si="1">IF($B$6&lt;=B35-1,"UDEN FOR OMRÅDET",IF($B$6&gt;=C35+1,"UDEN FOR OMRÅDET",$B$5))</f>
        <v>30</v>
      </c>
      <c r="F35" s="397" t="e">
        <f t="shared" si="0"/>
        <v>#VALUE!</v>
      </c>
      <c r="G35" s="396">
        <f t="shared" si="0"/>
        <v>-21</v>
      </c>
      <c r="I35" s="376" t="s">
        <v>550</v>
      </c>
      <c r="J35" s="395" cm="1">
        <f t="array" ref="J35">INDEX(A62:A80,MATCH(MIN(ABS(A62:A80-B6)),ABS(A62:A80-B6),0))</f>
        <v>830</v>
      </c>
      <c r="K35" s="395" cm="1">
        <f t="array" ref="K35">INDEX(B65:B80,MATCH(MIN(ABS(B65:B80-B6)),ABS(B65:B80-B6),0))</f>
        <v>810</v>
      </c>
      <c r="L35" s="394" cm="1">
        <f t="array" ref="L35">INDEX(C65:C80,MATCH(MIN(ABS(C65:C80-B6)),ABS(C65:C80-B6),0))</f>
        <v>910</v>
      </c>
    </row>
    <row r="36" spans="1:12" ht="13.5" hidden="1" thickBot="1" x14ac:dyDescent="0.25">
      <c r="A36" s="393" t="s">
        <v>557</v>
      </c>
      <c r="B36" s="374">
        <v>460</v>
      </c>
      <c r="C36" s="374">
        <v>4250</v>
      </c>
      <c r="D36" s="392" t="str">
        <f>IF($B$5&lt;=B36-1,"UDEN FOR OMRÅDET",IF($B$5&gt;=C36+1,"UDEN FOR OMRÅDET",$B$5))</f>
        <v>UDEN FOR OMRÅDET</v>
      </c>
      <c r="E36" s="391">
        <f t="shared" si="1"/>
        <v>30</v>
      </c>
    </row>
    <row r="37" spans="1:12" ht="13.5" hidden="1" thickTop="1" x14ac:dyDescent="0.2">
      <c r="A37" s="552" t="s">
        <v>16</v>
      </c>
      <c r="B37" s="553"/>
      <c r="C37" s="553"/>
      <c r="D37" s="565" t="s">
        <v>625</v>
      </c>
      <c r="E37" s="567" t="s">
        <v>628</v>
      </c>
      <c r="F37" s="553"/>
      <c r="G37" s="555"/>
      <c r="H37" s="567" t="s">
        <v>629</v>
      </c>
      <c r="I37" s="553"/>
      <c r="J37" s="555"/>
    </row>
    <row r="38" spans="1:12" hidden="1" x14ac:dyDescent="0.2">
      <c r="A38" s="379" t="s">
        <v>184</v>
      </c>
      <c r="B38" s="386" t="s">
        <v>554</v>
      </c>
      <c r="C38" s="386" t="s">
        <v>557</v>
      </c>
      <c r="D38" s="566"/>
      <c r="E38" s="379" t="s">
        <v>184</v>
      </c>
      <c r="F38" s="386" t="s">
        <v>554</v>
      </c>
      <c r="G38" s="385" t="s">
        <v>557</v>
      </c>
      <c r="H38" s="379" t="s">
        <v>184</v>
      </c>
      <c r="I38" s="386" t="s">
        <v>554</v>
      </c>
      <c r="J38" s="385" t="s">
        <v>557</v>
      </c>
    </row>
    <row r="39" spans="1:12" hidden="1" x14ac:dyDescent="0.2">
      <c r="A39" s="379">
        <v>30</v>
      </c>
      <c r="B39" s="568"/>
      <c r="C39" s="569"/>
      <c r="D39" s="385">
        <v>0.5</v>
      </c>
      <c r="E39" s="390">
        <v>4</v>
      </c>
      <c r="F39" s="381"/>
      <c r="G39" s="380"/>
      <c r="H39" s="390">
        <v>10</v>
      </c>
      <c r="I39" s="381"/>
      <c r="J39" s="380"/>
    </row>
    <row r="40" spans="1:12" hidden="1" x14ac:dyDescent="0.2">
      <c r="A40" s="379">
        <v>35</v>
      </c>
      <c r="B40" s="570"/>
      <c r="C40" s="571"/>
      <c r="D40" s="385">
        <v>0.6</v>
      </c>
      <c r="E40" s="379">
        <v>4</v>
      </c>
      <c r="F40" s="381"/>
      <c r="G40" s="380"/>
      <c r="H40" s="379">
        <v>10</v>
      </c>
      <c r="I40" s="381"/>
      <c r="J40" s="380"/>
    </row>
    <row r="41" spans="1:12" hidden="1" x14ac:dyDescent="0.2">
      <c r="A41" s="379">
        <v>50</v>
      </c>
      <c r="B41" s="572"/>
      <c r="C41" s="573"/>
      <c r="D41" s="385">
        <v>0.8</v>
      </c>
      <c r="E41" s="379">
        <v>5</v>
      </c>
      <c r="F41" s="381"/>
      <c r="G41" s="380"/>
      <c r="H41" s="379">
        <v>10</v>
      </c>
      <c r="I41" s="381"/>
      <c r="J41" s="380"/>
    </row>
    <row r="42" spans="1:12" hidden="1" x14ac:dyDescent="0.2">
      <c r="A42" s="379">
        <v>65</v>
      </c>
      <c r="B42" s="386">
        <v>210</v>
      </c>
      <c r="C42" s="386">
        <v>460</v>
      </c>
      <c r="D42" s="385">
        <v>1</v>
      </c>
      <c r="E42" s="379">
        <v>8</v>
      </c>
      <c r="F42" s="386">
        <v>15</v>
      </c>
      <c r="G42" s="385">
        <v>17</v>
      </c>
      <c r="H42" s="379">
        <v>10</v>
      </c>
      <c r="I42" s="386">
        <v>15</v>
      </c>
      <c r="J42" s="385">
        <v>17</v>
      </c>
    </row>
    <row r="43" spans="1:12" hidden="1" x14ac:dyDescent="0.2">
      <c r="A43" s="379">
        <v>75</v>
      </c>
      <c r="B43" s="386">
        <v>260</v>
      </c>
      <c r="C43" s="386">
        <v>600</v>
      </c>
      <c r="D43" s="385">
        <v>1.2</v>
      </c>
      <c r="E43" s="379">
        <v>10</v>
      </c>
      <c r="F43" s="386">
        <v>15</v>
      </c>
      <c r="G43" s="385">
        <v>17</v>
      </c>
      <c r="H43" s="379">
        <v>11</v>
      </c>
      <c r="I43" s="386">
        <v>15</v>
      </c>
      <c r="J43" s="385">
        <v>18</v>
      </c>
    </row>
    <row r="44" spans="1:12" hidden="1" x14ac:dyDescent="0.2">
      <c r="A44" s="379">
        <v>85</v>
      </c>
      <c r="B44" s="386">
        <v>320</v>
      </c>
      <c r="C44" s="386">
        <v>740</v>
      </c>
      <c r="D44" s="385">
        <v>1.4</v>
      </c>
      <c r="E44" s="379">
        <v>11</v>
      </c>
      <c r="F44" s="386">
        <v>15</v>
      </c>
      <c r="G44" s="385">
        <v>17</v>
      </c>
      <c r="H44" s="379">
        <v>12</v>
      </c>
      <c r="I44" s="386">
        <v>16</v>
      </c>
      <c r="J44" s="385">
        <v>18</v>
      </c>
    </row>
    <row r="45" spans="1:12" hidden="1" x14ac:dyDescent="0.2">
      <c r="A45" s="379">
        <v>100</v>
      </c>
      <c r="B45" s="386">
        <v>380</v>
      </c>
      <c r="C45" s="386">
        <v>910</v>
      </c>
      <c r="D45" s="385">
        <v>1.6</v>
      </c>
      <c r="E45" s="379">
        <v>11</v>
      </c>
      <c r="F45" s="386">
        <v>15</v>
      </c>
      <c r="G45" s="385">
        <v>18</v>
      </c>
      <c r="H45" s="379">
        <v>12</v>
      </c>
      <c r="I45" s="386">
        <v>16</v>
      </c>
      <c r="J45" s="385">
        <v>19</v>
      </c>
    </row>
    <row r="46" spans="1:12" hidden="1" x14ac:dyDescent="0.2">
      <c r="A46" s="379">
        <v>120</v>
      </c>
      <c r="B46" s="386">
        <v>430</v>
      </c>
      <c r="C46" s="386">
        <v>1110</v>
      </c>
      <c r="D46" s="385">
        <v>1.8</v>
      </c>
      <c r="E46" s="379">
        <v>12</v>
      </c>
      <c r="F46" s="386">
        <v>15</v>
      </c>
      <c r="G46" s="385">
        <v>18</v>
      </c>
      <c r="H46" s="379">
        <v>13</v>
      </c>
      <c r="I46" s="386">
        <v>17</v>
      </c>
      <c r="J46" s="385">
        <v>19</v>
      </c>
    </row>
    <row r="47" spans="1:12" hidden="1" x14ac:dyDescent="0.2">
      <c r="A47" s="379">
        <v>140</v>
      </c>
      <c r="B47" s="386">
        <v>490</v>
      </c>
      <c r="C47" s="386">
        <v>1310</v>
      </c>
      <c r="D47" s="385">
        <v>2</v>
      </c>
      <c r="E47" s="379">
        <v>13</v>
      </c>
      <c r="F47" s="386">
        <v>15</v>
      </c>
      <c r="G47" s="385">
        <v>18</v>
      </c>
      <c r="H47" s="379">
        <v>14</v>
      </c>
      <c r="I47" s="386">
        <v>17</v>
      </c>
      <c r="J47" s="385">
        <v>20</v>
      </c>
    </row>
    <row r="48" spans="1:12" hidden="1" x14ac:dyDescent="0.2">
      <c r="A48" s="379">
        <v>190</v>
      </c>
      <c r="B48" s="386">
        <v>550</v>
      </c>
      <c r="C48" s="386">
        <v>1540</v>
      </c>
      <c r="D48" s="385">
        <v>2.2000000000000002</v>
      </c>
      <c r="E48" s="379">
        <v>14</v>
      </c>
      <c r="F48" s="386">
        <v>16</v>
      </c>
      <c r="G48" s="385">
        <v>19</v>
      </c>
      <c r="H48" s="379">
        <v>15</v>
      </c>
      <c r="I48" s="386">
        <v>19</v>
      </c>
      <c r="J48" s="385">
        <v>22</v>
      </c>
    </row>
    <row r="49" spans="1:15" hidden="1" x14ac:dyDescent="0.2">
      <c r="A49" s="379">
        <v>240</v>
      </c>
      <c r="B49" s="386">
        <v>610</v>
      </c>
      <c r="C49" s="386">
        <v>1760</v>
      </c>
      <c r="D49" s="385">
        <v>2.4</v>
      </c>
      <c r="E49" s="379">
        <v>14</v>
      </c>
      <c r="F49" s="386">
        <v>17</v>
      </c>
      <c r="G49" s="385">
        <v>20</v>
      </c>
      <c r="H49" s="379">
        <v>15</v>
      </c>
      <c r="I49" s="386">
        <v>21</v>
      </c>
      <c r="J49" s="385">
        <v>24</v>
      </c>
    </row>
    <row r="50" spans="1:15" hidden="1" x14ac:dyDescent="0.2">
      <c r="A50" s="379">
        <v>310</v>
      </c>
      <c r="B50" s="386">
        <v>700</v>
      </c>
      <c r="C50" s="386">
        <v>2020</v>
      </c>
      <c r="D50" s="385">
        <v>2.6</v>
      </c>
      <c r="E50" s="379">
        <v>14</v>
      </c>
      <c r="F50" s="386">
        <v>17</v>
      </c>
      <c r="G50" s="385">
        <v>21</v>
      </c>
      <c r="H50" s="379">
        <v>15</v>
      </c>
      <c r="I50" s="386">
        <v>23</v>
      </c>
      <c r="J50" s="385">
        <v>26</v>
      </c>
    </row>
    <row r="51" spans="1:15" hidden="1" x14ac:dyDescent="0.2">
      <c r="A51" s="379">
        <v>380</v>
      </c>
      <c r="B51" s="386">
        <v>810</v>
      </c>
      <c r="C51" s="386">
        <v>2310</v>
      </c>
      <c r="D51" s="385">
        <v>2.8</v>
      </c>
      <c r="E51" s="379">
        <v>14</v>
      </c>
      <c r="F51" s="386">
        <v>18</v>
      </c>
      <c r="G51" s="385">
        <v>22</v>
      </c>
      <c r="H51" s="379">
        <v>16</v>
      </c>
      <c r="I51" s="386">
        <v>25</v>
      </c>
      <c r="J51" s="385">
        <v>28</v>
      </c>
    </row>
    <row r="52" spans="1:15" hidden="1" x14ac:dyDescent="0.2">
      <c r="A52" s="379">
        <v>460</v>
      </c>
      <c r="B52" s="386">
        <v>910</v>
      </c>
      <c r="C52" s="386">
        <v>2600</v>
      </c>
      <c r="D52" s="385">
        <v>3</v>
      </c>
      <c r="E52" s="379">
        <v>15</v>
      </c>
      <c r="F52" s="386">
        <v>19</v>
      </c>
      <c r="G52" s="385">
        <v>23</v>
      </c>
      <c r="H52" s="379">
        <v>18</v>
      </c>
      <c r="I52" s="386">
        <v>27</v>
      </c>
      <c r="J52" s="385">
        <v>30</v>
      </c>
    </row>
    <row r="53" spans="1:15" hidden="1" x14ac:dyDescent="0.2">
      <c r="A53" s="379">
        <v>560</v>
      </c>
      <c r="B53" s="386">
        <v>1000</v>
      </c>
      <c r="C53" s="386">
        <v>3000</v>
      </c>
      <c r="D53" s="385">
        <v>3.2</v>
      </c>
      <c r="E53" s="379">
        <v>15</v>
      </c>
      <c r="F53" s="386">
        <v>20</v>
      </c>
      <c r="G53" s="385">
        <v>26</v>
      </c>
      <c r="H53" s="379">
        <v>19</v>
      </c>
      <c r="I53" s="386">
        <v>29</v>
      </c>
      <c r="J53" s="385">
        <v>35</v>
      </c>
    </row>
    <row r="54" spans="1:15" hidden="1" x14ac:dyDescent="0.2">
      <c r="A54" s="379">
        <v>660</v>
      </c>
      <c r="B54" s="386">
        <v>1090</v>
      </c>
      <c r="C54" s="386">
        <v>3400</v>
      </c>
      <c r="D54" s="385">
        <v>3.4</v>
      </c>
      <c r="E54" s="379">
        <v>16</v>
      </c>
      <c r="F54" s="386">
        <v>21</v>
      </c>
      <c r="G54" s="385">
        <v>29</v>
      </c>
      <c r="H54" s="379">
        <v>21</v>
      </c>
      <c r="I54" s="386">
        <v>31</v>
      </c>
      <c r="J54" s="385">
        <v>40</v>
      </c>
    </row>
    <row r="55" spans="1:15" hidden="1" x14ac:dyDescent="0.2">
      <c r="A55" s="379">
        <v>730</v>
      </c>
      <c r="B55" s="386">
        <v>1150</v>
      </c>
      <c r="C55" s="386">
        <v>3730</v>
      </c>
      <c r="D55" s="385">
        <v>3.6</v>
      </c>
      <c r="E55" s="379">
        <v>17</v>
      </c>
      <c r="F55" s="386">
        <v>21</v>
      </c>
      <c r="G55" s="385">
        <v>32</v>
      </c>
      <c r="H55" s="379">
        <v>23</v>
      </c>
      <c r="I55" s="386">
        <v>32</v>
      </c>
      <c r="J55" s="385">
        <v>46</v>
      </c>
    </row>
    <row r="56" spans="1:15" hidden="1" x14ac:dyDescent="0.2">
      <c r="A56" s="379">
        <v>780</v>
      </c>
      <c r="B56" s="386">
        <v>1170</v>
      </c>
      <c r="C56" s="386">
        <v>3990</v>
      </c>
      <c r="D56" s="385">
        <v>3.8</v>
      </c>
      <c r="E56" s="379">
        <v>18</v>
      </c>
      <c r="F56" s="386">
        <v>22</v>
      </c>
      <c r="G56" s="385">
        <v>35</v>
      </c>
      <c r="H56" s="379">
        <v>25</v>
      </c>
      <c r="I56" s="386">
        <v>34</v>
      </c>
      <c r="J56" s="385">
        <v>51</v>
      </c>
    </row>
    <row r="57" spans="1:15" ht="13.5" hidden="1" thickBot="1" x14ac:dyDescent="0.25">
      <c r="A57" s="376">
        <v>830</v>
      </c>
      <c r="B57" s="374">
        <v>1200</v>
      </c>
      <c r="C57" s="374">
        <v>4250</v>
      </c>
      <c r="D57" s="373">
        <v>4</v>
      </c>
      <c r="E57" s="376">
        <v>19</v>
      </c>
      <c r="F57" s="374">
        <v>23</v>
      </c>
      <c r="G57" s="373">
        <v>38</v>
      </c>
      <c r="H57" s="376">
        <v>26</v>
      </c>
      <c r="I57" s="374">
        <v>36</v>
      </c>
      <c r="J57" s="373">
        <v>56</v>
      </c>
    </row>
    <row r="58" spans="1:15" hidden="1" x14ac:dyDescent="0.2"/>
    <row r="59" spans="1:15" ht="13.5" hidden="1" thickTop="1" x14ac:dyDescent="0.2">
      <c r="D59" s="552" t="s">
        <v>632</v>
      </c>
      <c r="E59" s="553"/>
      <c r="F59" s="553"/>
      <c r="G59" s="554"/>
      <c r="H59" s="552" t="s">
        <v>554</v>
      </c>
      <c r="I59" s="553"/>
      <c r="J59" s="553"/>
      <c r="K59" s="555"/>
      <c r="L59" s="556" t="s">
        <v>557</v>
      </c>
      <c r="M59" s="553"/>
      <c r="N59" s="553"/>
      <c r="O59" s="555"/>
    </row>
    <row r="60" spans="1:15" ht="13.5" hidden="1" thickTop="1" x14ac:dyDescent="0.2">
      <c r="A60" s="552" t="s">
        <v>16</v>
      </c>
      <c r="B60" s="553"/>
      <c r="C60" s="554"/>
      <c r="D60" s="557" t="s">
        <v>631</v>
      </c>
      <c r="E60" s="558"/>
      <c r="F60" s="559" t="s">
        <v>630</v>
      </c>
      <c r="G60" s="512"/>
      <c r="H60" s="557" t="s">
        <v>631</v>
      </c>
      <c r="I60" s="558"/>
      <c r="J60" s="559" t="s">
        <v>630</v>
      </c>
      <c r="K60" s="560"/>
      <c r="L60" s="561" t="s">
        <v>631</v>
      </c>
      <c r="M60" s="558"/>
      <c r="N60" s="559" t="s">
        <v>630</v>
      </c>
      <c r="O60" s="560"/>
    </row>
    <row r="61" spans="1:15" hidden="1" x14ac:dyDescent="0.2">
      <c r="A61" s="379" t="s">
        <v>184</v>
      </c>
      <c r="B61" s="386" t="s">
        <v>554</v>
      </c>
      <c r="C61" s="371" t="s">
        <v>557</v>
      </c>
      <c r="D61" s="389" t="s">
        <v>550</v>
      </c>
      <c r="E61" s="386" t="s">
        <v>549</v>
      </c>
      <c r="F61" s="387" t="s">
        <v>550</v>
      </c>
      <c r="G61" s="371" t="s">
        <v>549</v>
      </c>
      <c r="H61" s="389" t="s">
        <v>550</v>
      </c>
      <c r="I61" s="386" t="s">
        <v>549</v>
      </c>
      <c r="J61" s="387" t="s">
        <v>550</v>
      </c>
      <c r="K61" s="385" t="s">
        <v>549</v>
      </c>
      <c r="L61" s="388" t="s">
        <v>550</v>
      </c>
      <c r="M61" s="386" t="s">
        <v>549</v>
      </c>
      <c r="N61" s="387" t="s">
        <v>550</v>
      </c>
      <c r="O61" s="385" t="s">
        <v>549</v>
      </c>
    </row>
    <row r="62" spans="1:15" hidden="1" x14ac:dyDescent="0.2">
      <c r="A62" s="379">
        <v>30</v>
      </c>
      <c r="B62" s="381"/>
      <c r="C62" s="384"/>
      <c r="D62" s="379">
        <v>6.1</v>
      </c>
      <c r="E62" s="386">
        <v>3.9</v>
      </c>
      <c r="F62" s="386">
        <v>13.8</v>
      </c>
      <c r="G62" s="371">
        <v>10.199999999999999</v>
      </c>
      <c r="H62" s="383"/>
      <c r="I62" s="381"/>
      <c r="J62" s="381"/>
      <c r="K62" s="380"/>
      <c r="L62" s="382"/>
      <c r="M62" s="381"/>
      <c r="N62" s="381"/>
      <c r="O62" s="380"/>
    </row>
    <row r="63" spans="1:15" hidden="1" x14ac:dyDescent="0.2">
      <c r="A63" s="379">
        <v>35</v>
      </c>
      <c r="B63" s="381"/>
      <c r="C63" s="384"/>
      <c r="D63" s="379">
        <v>6.2</v>
      </c>
      <c r="E63" s="386">
        <v>3.8</v>
      </c>
      <c r="F63" s="386">
        <v>13.9</v>
      </c>
      <c r="G63" s="371">
        <v>10.1</v>
      </c>
      <c r="H63" s="383"/>
      <c r="I63" s="381"/>
      <c r="J63" s="381"/>
      <c r="K63" s="380"/>
      <c r="L63" s="382"/>
      <c r="M63" s="381"/>
      <c r="N63" s="381"/>
      <c r="O63" s="380"/>
    </row>
    <row r="64" spans="1:15" hidden="1" x14ac:dyDescent="0.2">
      <c r="A64" s="379">
        <v>50</v>
      </c>
      <c r="B64" s="381"/>
      <c r="C64" s="384"/>
      <c r="D64" s="379">
        <v>6.5</v>
      </c>
      <c r="E64" s="386">
        <v>3.5</v>
      </c>
      <c r="F64" s="386">
        <v>14.4</v>
      </c>
      <c r="G64" s="371">
        <v>9.6</v>
      </c>
      <c r="H64" s="383"/>
      <c r="I64" s="381"/>
      <c r="J64" s="381"/>
      <c r="K64" s="380"/>
      <c r="L64" s="382"/>
      <c r="M64" s="381"/>
      <c r="N64" s="381"/>
      <c r="O64" s="380"/>
    </row>
    <row r="65" spans="1:15" hidden="1" x14ac:dyDescent="0.2">
      <c r="A65" s="379">
        <v>65</v>
      </c>
      <c r="B65" s="386">
        <v>210</v>
      </c>
      <c r="C65" s="371">
        <v>460</v>
      </c>
      <c r="D65" s="379">
        <v>6.7</v>
      </c>
      <c r="E65" s="386">
        <v>3.3</v>
      </c>
      <c r="F65" s="386">
        <v>14.7</v>
      </c>
      <c r="G65" s="371">
        <v>9.3000000000000007</v>
      </c>
      <c r="H65" s="379">
        <v>6.7</v>
      </c>
      <c r="I65" s="386">
        <v>3.3</v>
      </c>
      <c r="J65" s="386">
        <v>14.7</v>
      </c>
      <c r="K65" s="385">
        <v>9.3000000000000007</v>
      </c>
      <c r="L65" s="378">
        <v>6.7</v>
      </c>
      <c r="M65" s="386">
        <v>3.3</v>
      </c>
      <c r="N65" s="386">
        <v>14.7</v>
      </c>
      <c r="O65" s="385">
        <v>9.3000000000000007</v>
      </c>
    </row>
    <row r="66" spans="1:15" hidden="1" x14ac:dyDescent="0.2">
      <c r="A66" s="379">
        <v>75</v>
      </c>
      <c r="B66" s="386">
        <v>260</v>
      </c>
      <c r="C66" s="371">
        <v>600</v>
      </c>
      <c r="D66" s="379">
        <v>6.9</v>
      </c>
      <c r="E66" s="386">
        <v>3.1</v>
      </c>
      <c r="F66" s="386">
        <v>15</v>
      </c>
      <c r="G66" s="371">
        <v>9</v>
      </c>
      <c r="H66" s="379">
        <v>6.9</v>
      </c>
      <c r="I66" s="386">
        <v>3.1</v>
      </c>
      <c r="J66" s="386">
        <v>15</v>
      </c>
      <c r="K66" s="385">
        <v>9</v>
      </c>
      <c r="L66" s="378">
        <v>6.9</v>
      </c>
      <c r="M66" s="386">
        <v>3.1</v>
      </c>
      <c r="N66" s="386">
        <v>15</v>
      </c>
      <c r="O66" s="385">
        <v>9</v>
      </c>
    </row>
    <row r="67" spans="1:15" hidden="1" x14ac:dyDescent="0.2">
      <c r="A67" s="379">
        <v>85</v>
      </c>
      <c r="B67" s="386">
        <v>320</v>
      </c>
      <c r="C67" s="371">
        <v>740</v>
      </c>
      <c r="D67" s="379">
        <v>7.1</v>
      </c>
      <c r="E67" s="386">
        <v>2.9</v>
      </c>
      <c r="F67" s="386">
        <v>15.4</v>
      </c>
      <c r="G67" s="371">
        <v>8.6</v>
      </c>
      <c r="H67" s="379">
        <v>7.1</v>
      </c>
      <c r="I67" s="386">
        <v>2.9</v>
      </c>
      <c r="J67" s="386">
        <v>15.4</v>
      </c>
      <c r="K67" s="385">
        <v>8.6</v>
      </c>
      <c r="L67" s="378">
        <v>7.1</v>
      </c>
      <c r="M67" s="386">
        <v>2.9</v>
      </c>
      <c r="N67" s="386">
        <v>15.4</v>
      </c>
      <c r="O67" s="385">
        <v>8.6</v>
      </c>
    </row>
    <row r="68" spans="1:15" hidden="1" x14ac:dyDescent="0.2">
      <c r="A68" s="379">
        <v>100</v>
      </c>
      <c r="B68" s="386">
        <v>380</v>
      </c>
      <c r="C68" s="371">
        <v>910</v>
      </c>
      <c r="D68" s="379">
        <v>7.3</v>
      </c>
      <c r="E68" s="386">
        <v>2.7</v>
      </c>
      <c r="F68" s="386">
        <v>15.7</v>
      </c>
      <c r="G68" s="371">
        <v>8.3000000000000007</v>
      </c>
      <c r="H68" s="379">
        <v>7.3</v>
      </c>
      <c r="I68" s="386">
        <v>2.7</v>
      </c>
      <c r="J68" s="386">
        <v>15.7</v>
      </c>
      <c r="K68" s="385">
        <v>8.3000000000000007</v>
      </c>
      <c r="L68" s="378">
        <v>7.3</v>
      </c>
      <c r="M68" s="386">
        <v>2.7</v>
      </c>
      <c r="N68" s="386">
        <v>15.7</v>
      </c>
      <c r="O68" s="385">
        <v>8.3000000000000007</v>
      </c>
    </row>
    <row r="69" spans="1:15" hidden="1" x14ac:dyDescent="0.2">
      <c r="A69" s="379">
        <v>120</v>
      </c>
      <c r="B69" s="386">
        <v>430</v>
      </c>
      <c r="C69" s="371">
        <v>1110</v>
      </c>
      <c r="D69" s="379">
        <v>7.6</v>
      </c>
      <c r="E69" s="386">
        <v>2.4</v>
      </c>
      <c r="F69" s="386">
        <v>16.2</v>
      </c>
      <c r="G69" s="371">
        <v>7.8</v>
      </c>
      <c r="H69" s="379">
        <v>7.6</v>
      </c>
      <c r="I69" s="386">
        <v>2.4</v>
      </c>
      <c r="J69" s="386">
        <v>16.2</v>
      </c>
      <c r="K69" s="385">
        <v>7.8</v>
      </c>
      <c r="L69" s="378">
        <v>7.6</v>
      </c>
      <c r="M69" s="386">
        <v>2.4</v>
      </c>
      <c r="N69" s="386">
        <v>16.2</v>
      </c>
      <c r="O69" s="385">
        <v>7.8</v>
      </c>
    </row>
    <row r="70" spans="1:15" hidden="1" x14ac:dyDescent="0.2">
      <c r="A70" s="379">
        <v>140</v>
      </c>
      <c r="B70" s="386">
        <v>490</v>
      </c>
      <c r="C70" s="371">
        <v>1310</v>
      </c>
      <c r="D70" s="379">
        <v>7.8</v>
      </c>
      <c r="E70" s="386">
        <v>2.2000000000000002</v>
      </c>
      <c r="F70" s="386">
        <v>16.5</v>
      </c>
      <c r="G70" s="371">
        <v>7.5</v>
      </c>
      <c r="H70" s="379">
        <v>7.8</v>
      </c>
      <c r="I70" s="386">
        <v>2.2000000000000002</v>
      </c>
      <c r="J70" s="386">
        <v>16.5</v>
      </c>
      <c r="K70" s="385">
        <v>7.5</v>
      </c>
      <c r="L70" s="378">
        <v>7.8</v>
      </c>
      <c r="M70" s="386">
        <v>2.2000000000000002</v>
      </c>
      <c r="N70" s="386">
        <v>16.5</v>
      </c>
      <c r="O70" s="385">
        <v>7.5</v>
      </c>
    </row>
    <row r="71" spans="1:15" hidden="1" x14ac:dyDescent="0.2">
      <c r="A71" s="379">
        <v>190</v>
      </c>
      <c r="B71" s="386">
        <v>550</v>
      </c>
      <c r="C71" s="371">
        <v>1540</v>
      </c>
      <c r="D71" s="379">
        <v>8</v>
      </c>
      <c r="E71" s="386">
        <v>2</v>
      </c>
      <c r="F71" s="386">
        <v>16.8</v>
      </c>
      <c r="G71" s="371">
        <v>7.2</v>
      </c>
      <c r="H71" s="379">
        <v>8</v>
      </c>
      <c r="I71" s="386">
        <v>2</v>
      </c>
      <c r="J71" s="386">
        <v>16.8</v>
      </c>
      <c r="K71" s="385">
        <v>7.2</v>
      </c>
      <c r="L71" s="378">
        <v>8</v>
      </c>
      <c r="M71" s="386">
        <v>2</v>
      </c>
      <c r="N71" s="386">
        <v>16.8</v>
      </c>
      <c r="O71" s="385">
        <v>7.2</v>
      </c>
    </row>
    <row r="72" spans="1:15" hidden="1" x14ac:dyDescent="0.2">
      <c r="A72" s="379">
        <v>240</v>
      </c>
      <c r="B72" s="386">
        <v>610</v>
      </c>
      <c r="C72" s="371">
        <v>1760</v>
      </c>
      <c r="D72" s="379">
        <v>8.1999999999999993</v>
      </c>
      <c r="E72" s="386">
        <v>1.8</v>
      </c>
      <c r="F72" s="386">
        <v>17.100000000000001</v>
      </c>
      <c r="G72" s="371">
        <v>6.9</v>
      </c>
      <c r="H72" s="379">
        <v>8.1999999999999993</v>
      </c>
      <c r="I72" s="386">
        <v>1.8</v>
      </c>
      <c r="J72" s="386">
        <v>17.100000000000001</v>
      </c>
      <c r="K72" s="385">
        <v>6.9</v>
      </c>
      <c r="L72" s="378">
        <v>8.1999999999999993</v>
      </c>
      <c r="M72" s="386">
        <v>1.8</v>
      </c>
      <c r="N72" s="386">
        <v>17.100000000000001</v>
      </c>
      <c r="O72" s="385">
        <v>6.9</v>
      </c>
    </row>
    <row r="73" spans="1:15" hidden="1" x14ac:dyDescent="0.2">
      <c r="A73" s="379">
        <v>310</v>
      </c>
      <c r="B73" s="386">
        <v>700</v>
      </c>
      <c r="C73" s="371">
        <v>2020</v>
      </c>
      <c r="D73" s="379">
        <v>8.4</v>
      </c>
      <c r="E73" s="386">
        <v>1.6</v>
      </c>
      <c r="F73" s="386">
        <v>17.399999999999999</v>
      </c>
      <c r="G73" s="371">
        <v>6.6</v>
      </c>
      <c r="H73" s="379">
        <v>8.4</v>
      </c>
      <c r="I73" s="386">
        <v>1.6</v>
      </c>
      <c r="J73" s="386">
        <v>17.399999999999999</v>
      </c>
      <c r="K73" s="385">
        <v>6.6</v>
      </c>
      <c r="L73" s="378">
        <v>8.4</v>
      </c>
      <c r="M73" s="386">
        <v>1.6</v>
      </c>
      <c r="N73" s="386">
        <v>17.399999999999999</v>
      </c>
      <c r="O73" s="385">
        <v>6.6</v>
      </c>
    </row>
    <row r="74" spans="1:15" hidden="1" x14ac:dyDescent="0.2">
      <c r="A74" s="379">
        <v>380</v>
      </c>
      <c r="B74" s="386">
        <v>810</v>
      </c>
      <c r="C74" s="371">
        <v>2310</v>
      </c>
      <c r="D74" s="379">
        <v>8.6999999999999993</v>
      </c>
      <c r="E74" s="386">
        <v>1.3</v>
      </c>
      <c r="F74" s="386">
        <v>17.899999999999999</v>
      </c>
      <c r="G74" s="371">
        <v>6.1</v>
      </c>
      <c r="H74" s="379">
        <v>8.6999999999999993</v>
      </c>
      <c r="I74" s="386">
        <v>1.3</v>
      </c>
      <c r="J74" s="386">
        <v>17.899999999999999</v>
      </c>
      <c r="K74" s="385">
        <v>6.1</v>
      </c>
      <c r="L74" s="378">
        <v>8.6999999999999993</v>
      </c>
      <c r="M74" s="386">
        <v>1.3</v>
      </c>
      <c r="N74" s="386">
        <v>17.899999999999999</v>
      </c>
      <c r="O74" s="385">
        <v>6.1</v>
      </c>
    </row>
    <row r="75" spans="1:15" hidden="1" x14ac:dyDescent="0.2">
      <c r="A75" s="379">
        <v>460</v>
      </c>
      <c r="B75" s="386">
        <v>910</v>
      </c>
      <c r="C75" s="371">
        <v>2600</v>
      </c>
      <c r="D75" s="379">
        <v>8.9</v>
      </c>
      <c r="E75" s="386">
        <v>1.1000000000000001</v>
      </c>
      <c r="F75" s="386">
        <v>18.2</v>
      </c>
      <c r="G75" s="371">
        <v>5.8</v>
      </c>
      <c r="H75" s="379">
        <v>8.9</v>
      </c>
      <c r="I75" s="386">
        <v>1.1000000000000001</v>
      </c>
      <c r="J75" s="386">
        <v>18.2</v>
      </c>
      <c r="K75" s="385">
        <v>5.8</v>
      </c>
      <c r="L75" s="378">
        <v>8.9</v>
      </c>
      <c r="M75" s="386">
        <v>1.1000000000000001</v>
      </c>
      <c r="N75" s="386">
        <v>18.2</v>
      </c>
      <c r="O75" s="385">
        <v>5.8</v>
      </c>
    </row>
    <row r="76" spans="1:15" hidden="1" x14ac:dyDescent="0.2">
      <c r="A76" s="379">
        <v>560</v>
      </c>
      <c r="B76" s="386">
        <v>1000</v>
      </c>
      <c r="C76" s="371">
        <v>3000</v>
      </c>
      <c r="D76" s="379">
        <v>9.1</v>
      </c>
      <c r="E76" s="386">
        <v>0.9</v>
      </c>
      <c r="F76" s="386">
        <v>18.600000000000001</v>
      </c>
      <c r="G76" s="371">
        <v>5.4</v>
      </c>
      <c r="H76" s="379">
        <v>9.1</v>
      </c>
      <c r="I76" s="386">
        <v>0.9</v>
      </c>
      <c r="J76" s="386">
        <v>18.600000000000001</v>
      </c>
      <c r="K76" s="385">
        <v>5.4</v>
      </c>
      <c r="L76" s="378">
        <v>9.1</v>
      </c>
      <c r="M76" s="386">
        <v>0.9</v>
      </c>
      <c r="N76" s="386">
        <v>18.600000000000001</v>
      </c>
      <c r="O76" s="385">
        <v>5.4</v>
      </c>
    </row>
    <row r="77" spans="1:15" hidden="1" x14ac:dyDescent="0.2">
      <c r="A77" s="379">
        <v>660</v>
      </c>
      <c r="B77" s="386">
        <v>1090</v>
      </c>
      <c r="C77" s="371">
        <v>3400</v>
      </c>
      <c r="D77" s="379">
        <v>9.3000000000000007</v>
      </c>
      <c r="E77" s="386">
        <v>0.7</v>
      </c>
      <c r="F77" s="386">
        <v>18.899999999999999</v>
      </c>
      <c r="G77" s="371">
        <v>5.0999999999999996</v>
      </c>
      <c r="H77" s="379">
        <v>9.3000000000000007</v>
      </c>
      <c r="I77" s="386">
        <v>0.7</v>
      </c>
      <c r="J77" s="386">
        <v>18.899999999999999</v>
      </c>
      <c r="K77" s="385">
        <v>5.0999999999999996</v>
      </c>
      <c r="L77" s="378">
        <v>9.3000000000000007</v>
      </c>
      <c r="M77" s="386">
        <v>0.7</v>
      </c>
      <c r="N77" s="386">
        <v>18.899999999999999</v>
      </c>
      <c r="O77" s="385">
        <v>5.0999999999999996</v>
      </c>
    </row>
    <row r="78" spans="1:15" hidden="1" x14ac:dyDescent="0.2">
      <c r="A78" s="379">
        <v>730</v>
      </c>
      <c r="B78" s="386">
        <v>1150</v>
      </c>
      <c r="C78" s="371">
        <v>3730</v>
      </c>
      <c r="D78" s="379">
        <v>9.5</v>
      </c>
      <c r="E78" s="386">
        <v>0.5</v>
      </c>
      <c r="F78" s="386">
        <v>19.2</v>
      </c>
      <c r="G78" s="371">
        <v>4.8</v>
      </c>
      <c r="H78" s="379">
        <v>9.5</v>
      </c>
      <c r="I78" s="386">
        <v>0.5</v>
      </c>
      <c r="J78" s="386">
        <v>19.2</v>
      </c>
      <c r="K78" s="385">
        <v>4.8</v>
      </c>
      <c r="L78" s="378">
        <v>9.5</v>
      </c>
      <c r="M78" s="386">
        <v>0.5</v>
      </c>
      <c r="N78" s="386">
        <v>19.2</v>
      </c>
      <c r="O78" s="385">
        <v>4.8</v>
      </c>
    </row>
    <row r="79" spans="1:15" hidden="1" x14ac:dyDescent="0.2">
      <c r="A79" s="379">
        <v>780</v>
      </c>
      <c r="B79" s="386">
        <v>1170</v>
      </c>
      <c r="C79" s="371">
        <v>3990</v>
      </c>
      <c r="D79" s="379">
        <v>9.8000000000000007</v>
      </c>
      <c r="E79" s="386">
        <v>0.2</v>
      </c>
      <c r="F79" s="386">
        <v>19.7</v>
      </c>
      <c r="G79" s="371">
        <v>4.3</v>
      </c>
      <c r="H79" s="379">
        <v>9.8000000000000007</v>
      </c>
      <c r="I79" s="386">
        <v>0.2</v>
      </c>
      <c r="J79" s="386">
        <v>19.7</v>
      </c>
      <c r="K79" s="385">
        <v>4.3</v>
      </c>
      <c r="L79" s="378">
        <v>9.8000000000000007</v>
      </c>
      <c r="M79" s="386">
        <v>0.2</v>
      </c>
      <c r="N79" s="386">
        <v>19.7</v>
      </c>
      <c r="O79" s="385">
        <v>4.3</v>
      </c>
    </row>
    <row r="80" spans="1:15" ht="13.5" hidden="1" thickBot="1" x14ac:dyDescent="0.25">
      <c r="A80" s="376">
        <v>830</v>
      </c>
      <c r="B80" s="374">
        <v>1200</v>
      </c>
      <c r="C80" s="377">
        <v>4250</v>
      </c>
      <c r="D80" s="376">
        <v>10</v>
      </c>
      <c r="E80" s="374">
        <v>0</v>
      </c>
      <c r="F80" s="374">
        <v>20</v>
      </c>
      <c r="G80" s="377">
        <v>4</v>
      </c>
      <c r="H80" s="376">
        <v>10</v>
      </c>
      <c r="I80" s="374">
        <v>0</v>
      </c>
      <c r="J80" s="374">
        <v>20</v>
      </c>
      <c r="K80" s="373">
        <v>4</v>
      </c>
      <c r="L80" s="375">
        <v>10</v>
      </c>
      <c r="M80" s="374">
        <v>0</v>
      </c>
      <c r="N80" s="374">
        <v>20</v>
      </c>
      <c r="O80" s="373">
        <v>4</v>
      </c>
    </row>
    <row r="81" hidden="1" x14ac:dyDescent="0.2"/>
    <row r="82" hidden="1" x14ac:dyDescent="0.2"/>
  </sheetData>
  <sheetProtection sheet="1" objects="1" scenarios="1"/>
  <mergeCells count="29">
    <mergeCell ref="A8:A9"/>
    <mergeCell ref="B8:C8"/>
    <mergeCell ref="A1:I1"/>
    <mergeCell ref="A2:I2"/>
    <mergeCell ref="D7:E7"/>
    <mergeCell ref="F7:G7"/>
    <mergeCell ref="H7:I7"/>
    <mergeCell ref="B39:C41"/>
    <mergeCell ref="D13:E13"/>
    <mergeCell ref="D14:E14"/>
    <mergeCell ref="B16:E16"/>
    <mergeCell ref="A17:A18"/>
    <mergeCell ref="B17:C17"/>
    <mergeCell ref="D17:E17"/>
    <mergeCell ref="I32:L32"/>
    <mergeCell ref="A37:C37"/>
    <mergeCell ref="D37:D38"/>
    <mergeCell ref="E37:G37"/>
    <mergeCell ref="H37:J37"/>
    <mergeCell ref="D59:G59"/>
    <mergeCell ref="H59:K59"/>
    <mergeCell ref="L59:O59"/>
    <mergeCell ref="A60:C60"/>
    <mergeCell ref="D60:E60"/>
    <mergeCell ref="F60:G60"/>
    <mergeCell ref="H60:I60"/>
    <mergeCell ref="J60:K60"/>
    <mergeCell ref="L60:M60"/>
    <mergeCell ref="N60:O60"/>
  </mergeCell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Regneark</vt:lpstr>
      </vt:variant>
      <vt:variant>
        <vt:i4>9</vt:i4>
      </vt:variant>
      <vt:variant>
        <vt:lpstr>Navngivne områder</vt:lpstr>
      </vt:variant>
      <vt:variant>
        <vt:i4>5</vt:i4>
      </vt:variant>
    </vt:vector>
  </HeadingPairs>
  <TitlesOfParts>
    <vt:vector size="14" baseType="lpstr">
      <vt:lpstr>SIGMA Compact</vt:lpstr>
      <vt:lpstr>SIGMA Compact Flange</vt:lpstr>
      <vt:lpstr>OPTIMA Compact</vt:lpstr>
      <vt:lpstr>OPTIMA Compact Flanged</vt:lpstr>
      <vt:lpstr>Frese OPTIMA Compact HCR</vt:lpstr>
      <vt:lpstr>ALPHA</vt:lpstr>
      <vt:lpstr>ALPHA Wafer</vt:lpstr>
      <vt:lpstr>ALPHA Wafer HCR</vt:lpstr>
      <vt:lpstr>COMBIFLOW</vt:lpstr>
      <vt:lpstr>'Frese OPTIMA Compact HCR'!Udskriftsområde</vt:lpstr>
      <vt:lpstr>'OPTIMA Compact'!Udskriftsområde</vt:lpstr>
      <vt:lpstr>'OPTIMA Compact Flanged'!Udskriftsområde</vt:lpstr>
      <vt:lpstr>'SIGMA Compact'!Udskriftsområde</vt:lpstr>
      <vt:lpstr>'SIGMA Compact Flange'!Udskriftsområde</vt:lpstr>
    </vt:vector>
  </TitlesOfParts>
  <Company>Frese A/S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Jens Johansen</dc:creator>
  <cp:lastModifiedBy>Jens Johansen</cp:lastModifiedBy>
  <cp:lastPrinted>2014-10-27T13:33:43Z</cp:lastPrinted>
  <dcterms:created xsi:type="dcterms:W3CDTF">2004-11-24T15:05:14Z</dcterms:created>
  <dcterms:modified xsi:type="dcterms:W3CDTF">2024-10-29T14:20:15Z</dcterms:modified>
</cp:coreProperties>
</file>