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L:\FAS\RD\Godkendelser\Quick Calc\"/>
    </mc:Choice>
  </mc:AlternateContent>
  <xr:revisionPtr revIDLastSave="0" documentId="13_ncr:1_{137DA710-6FE1-4DF5-9E21-0513C7F16034}" xr6:coauthVersionLast="47" xr6:coauthVersionMax="47" xr10:uidLastSave="{00000000-0000-0000-0000-000000000000}"/>
  <bookViews>
    <workbookView xWindow="-120" yWindow="-120" windowWidth="29040" windowHeight="17640" firstSheet="13" activeTab="14" xr2:uid="{00000000-000D-0000-FFFF-FFFF00000000}"/>
  </bookViews>
  <sheets>
    <sheet name="Frese S" sheetId="8" r:id="rId1"/>
    <sheet name="SIGMA Compact" sheetId="20" r:id="rId2"/>
    <sheet name="SIGMA Compact Flange" sheetId="26" r:id="rId3"/>
    <sheet name="Frese OPTIMA" sheetId="9" r:id="rId4"/>
    <sheet name="OPTIMA Compact" sheetId="12" r:id="rId5"/>
    <sheet name="OPTIMA Compact Flanged" sheetId="21" r:id="rId6"/>
    <sheet name="Frese PV" sheetId="7" r:id="rId7"/>
    <sheet name="PV Compact" sheetId="17" r:id="rId8"/>
    <sheet name="Frese PVS" sheetId="11" r:id="rId9"/>
    <sheet name="PV-SIGMA" sheetId="22" r:id="rId10"/>
    <sheet name="OPTIMA P Compact" sheetId="29" r:id="rId11"/>
    <sheet name="ALPHA" sheetId="18" r:id="rId12"/>
    <sheet name="ALPHA Wafer" sheetId="15" r:id="rId13"/>
    <sheet name="Frese EVA" sheetId="14" r:id="rId14"/>
    <sheet name="COMBIFLOW" sheetId="19" r:id="rId15"/>
    <sheet name="OPTIMIZER 6 way" sheetId="23" r:id="rId16"/>
    <sheet name="Frese STBV-VODRV" sheetId="27" r:id="rId17"/>
    <sheet name="Frese STBV-VODRV flanged" sheetId="28" r:id="rId18"/>
    <sheet name="OPTIMA Compact Veriflow FCP" sheetId="30" r:id="rId19"/>
    <sheet name="OPTIMA Compact Veriflow fl FCP" sheetId="31" r:id="rId20"/>
    <sheet name="Frese STBV-VODRV FCP" sheetId="32" r:id="rId21"/>
    <sheet name="Frese STBV-VODRV flanged FCP" sheetId="33" r:id="rId22"/>
  </sheets>
  <definedNames>
    <definedName name="_xlnm.Print_Area" localSheetId="3">'Frese OPTIMA'!$A$1:$K$33</definedName>
    <definedName name="_xlnm.Print_Area" localSheetId="6">'Frese PV'!$A$1:$J$33</definedName>
    <definedName name="_xlnm.Print_Area" localSheetId="8">'Frese PVS'!$A$1:$J$42</definedName>
    <definedName name="_xlnm.Print_Area" localSheetId="0">'Frese S'!$A$1:$K$33</definedName>
    <definedName name="_xlnm.Print_Area" localSheetId="4">'OPTIMA Compact'!$A$1:$J$37</definedName>
    <definedName name="_xlnm.Print_Area" localSheetId="5">'OPTIMA Compact Flanged'!$A$1:$J$47</definedName>
    <definedName name="_xlnm.Print_Area" localSheetId="18">'OPTIMA Compact Veriflow FCP'!$A$1:$I$28</definedName>
    <definedName name="_xlnm.Print_Area" localSheetId="19">'OPTIMA Compact Veriflow fl FCP'!$A$1:$H$28</definedName>
    <definedName name="_xlnm.Print_Area" localSheetId="7">'PV Compact'!$A$1:$J$37</definedName>
    <definedName name="_xlnm.Print_Area" localSheetId="9">'PV-SIGMA'!$A$1:$J$42</definedName>
    <definedName name="_xlnm.Print_Area" localSheetId="1">'SIGMA Compact'!$A$1:$K$34</definedName>
    <definedName name="_xlnm.Print_Area" localSheetId="2">'SIGMA Compact Flange'!$A$1:$J$47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6" i="19" l="1" a="1"/>
  <c r="L36" i="19" s="1"/>
  <c r="K36" i="19" a="1"/>
  <c r="K36" i="19" s="1"/>
  <c r="J36" i="19" a="1"/>
  <c r="J36" i="19" s="1"/>
  <c r="J35" i="19" a="1"/>
  <c r="J35" i="19" s="1"/>
  <c r="L35" i="19" a="1"/>
  <c r="L35" i="19" s="1"/>
  <c r="K35" i="19" a="1"/>
  <c r="K35" i="19" s="1"/>
  <c r="E35" i="19"/>
  <c r="D22" i="32"/>
  <c r="E11" i="19" l="1"/>
  <c r="G11" i="19"/>
  <c r="I11" i="19"/>
  <c r="D20" i="19"/>
  <c r="E20" i="19"/>
  <c r="C34" i="31"/>
  <c r="C33" i="31"/>
  <c r="C30" i="31"/>
  <c r="C29" i="31"/>
  <c r="C28" i="31"/>
  <c r="C26" i="31"/>
  <c r="C25" i="31"/>
  <c r="C18" i="31"/>
  <c r="C17" i="31"/>
  <c r="C22" i="31"/>
  <c r="C21" i="31"/>
  <c r="M226" i="33"/>
  <c r="L226" i="33"/>
  <c r="K226" i="33"/>
  <c r="J226" i="33"/>
  <c r="M225" i="33"/>
  <c r="L225" i="33"/>
  <c r="K225" i="33"/>
  <c r="J225" i="33"/>
  <c r="M224" i="33"/>
  <c r="L224" i="33"/>
  <c r="K224" i="33"/>
  <c r="J224" i="33"/>
  <c r="M223" i="33"/>
  <c r="L223" i="33"/>
  <c r="K223" i="33"/>
  <c r="J223" i="33"/>
  <c r="M222" i="33"/>
  <c r="L222" i="33"/>
  <c r="K222" i="33"/>
  <c r="J222" i="33"/>
  <c r="M221" i="33"/>
  <c r="L221" i="33"/>
  <c r="K221" i="33"/>
  <c r="J221" i="33"/>
  <c r="M220" i="33"/>
  <c r="L220" i="33"/>
  <c r="K220" i="33"/>
  <c r="J220" i="33"/>
  <c r="M219" i="33"/>
  <c r="L219" i="33"/>
  <c r="K219" i="33"/>
  <c r="J219" i="33"/>
  <c r="M218" i="33"/>
  <c r="L218" i="33"/>
  <c r="K218" i="33"/>
  <c r="J218" i="33"/>
  <c r="M216" i="33"/>
  <c r="L216" i="33"/>
  <c r="K216" i="33"/>
  <c r="J216" i="33"/>
  <c r="M215" i="33"/>
  <c r="L215" i="33"/>
  <c r="K215" i="33"/>
  <c r="J215" i="33"/>
  <c r="M214" i="33"/>
  <c r="L214" i="33"/>
  <c r="K214" i="33"/>
  <c r="J214" i="33"/>
  <c r="M213" i="33"/>
  <c r="L213" i="33"/>
  <c r="K213" i="33"/>
  <c r="J213" i="33"/>
  <c r="M212" i="33"/>
  <c r="L212" i="33"/>
  <c r="K212" i="33"/>
  <c r="J212" i="33"/>
  <c r="M211" i="33"/>
  <c r="L211" i="33"/>
  <c r="K211" i="33"/>
  <c r="J211" i="33"/>
  <c r="M210" i="33"/>
  <c r="L210" i="33"/>
  <c r="K210" i="33"/>
  <c r="J210" i="33"/>
  <c r="M209" i="33"/>
  <c r="L209" i="33"/>
  <c r="K209" i="33"/>
  <c r="J209" i="33"/>
  <c r="M208" i="33"/>
  <c r="L208" i="33"/>
  <c r="K208" i="33"/>
  <c r="J208" i="33"/>
  <c r="M206" i="33"/>
  <c r="L206" i="33"/>
  <c r="K206" i="33"/>
  <c r="J206" i="33"/>
  <c r="M205" i="33"/>
  <c r="L205" i="33"/>
  <c r="K205" i="33"/>
  <c r="J205" i="33"/>
  <c r="M204" i="33"/>
  <c r="L204" i="33"/>
  <c r="K204" i="33"/>
  <c r="J204" i="33"/>
  <c r="M203" i="33"/>
  <c r="L203" i="33"/>
  <c r="K203" i="33"/>
  <c r="J203" i="33"/>
  <c r="M202" i="33"/>
  <c r="L202" i="33"/>
  <c r="K202" i="33"/>
  <c r="J202" i="33"/>
  <c r="M201" i="33"/>
  <c r="L201" i="33"/>
  <c r="K201" i="33"/>
  <c r="J201" i="33"/>
  <c r="M200" i="33"/>
  <c r="L200" i="33"/>
  <c r="K200" i="33"/>
  <c r="J200" i="33"/>
  <c r="M199" i="33"/>
  <c r="L199" i="33"/>
  <c r="K199" i="33"/>
  <c r="J199" i="33"/>
  <c r="M198" i="33"/>
  <c r="L198" i="33"/>
  <c r="K198" i="33"/>
  <c r="J198" i="33"/>
  <c r="M196" i="33"/>
  <c r="L196" i="33"/>
  <c r="K196" i="33"/>
  <c r="J196" i="33"/>
  <c r="I196" i="33"/>
  <c r="H196" i="33"/>
  <c r="M195" i="33"/>
  <c r="L195" i="33"/>
  <c r="K195" i="33"/>
  <c r="J195" i="33"/>
  <c r="I195" i="33"/>
  <c r="H195" i="33"/>
  <c r="M194" i="33"/>
  <c r="L194" i="33"/>
  <c r="K194" i="33"/>
  <c r="J194" i="33"/>
  <c r="I194" i="33"/>
  <c r="H194" i="33"/>
  <c r="M193" i="33"/>
  <c r="L193" i="33"/>
  <c r="K193" i="33"/>
  <c r="J193" i="33"/>
  <c r="I193" i="33"/>
  <c r="H193" i="33"/>
  <c r="M192" i="33"/>
  <c r="L192" i="33"/>
  <c r="K192" i="33"/>
  <c r="J192" i="33"/>
  <c r="I192" i="33"/>
  <c r="H192" i="33"/>
  <c r="M191" i="33"/>
  <c r="L191" i="33"/>
  <c r="K191" i="33"/>
  <c r="J191" i="33"/>
  <c r="I191" i="33"/>
  <c r="H191" i="33"/>
  <c r="M190" i="33"/>
  <c r="L190" i="33"/>
  <c r="K190" i="33"/>
  <c r="J190" i="33"/>
  <c r="I190" i="33"/>
  <c r="H190" i="33"/>
  <c r="M189" i="33"/>
  <c r="L189" i="33"/>
  <c r="K189" i="33"/>
  <c r="J189" i="33"/>
  <c r="I189" i="33"/>
  <c r="H189" i="33"/>
  <c r="M188" i="33"/>
  <c r="L188" i="33"/>
  <c r="K188" i="33"/>
  <c r="J188" i="33"/>
  <c r="I188" i="33"/>
  <c r="H188" i="33"/>
  <c r="M186" i="33"/>
  <c r="L186" i="33"/>
  <c r="K186" i="33"/>
  <c r="J186" i="33"/>
  <c r="I186" i="33"/>
  <c r="H186" i="33"/>
  <c r="M185" i="33"/>
  <c r="L185" i="33"/>
  <c r="K185" i="33"/>
  <c r="J185" i="33"/>
  <c r="I185" i="33"/>
  <c r="H185" i="33"/>
  <c r="M184" i="33"/>
  <c r="L184" i="33"/>
  <c r="K184" i="33"/>
  <c r="J184" i="33"/>
  <c r="I184" i="33"/>
  <c r="H184" i="33"/>
  <c r="M183" i="33"/>
  <c r="L183" i="33"/>
  <c r="K183" i="33"/>
  <c r="J183" i="33"/>
  <c r="I183" i="33"/>
  <c r="H183" i="33"/>
  <c r="M182" i="33"/>
  <c r="L182" i="33"/>
  <c r="K182" i="33"/>
  <c r="J182" i="33"/>
  <c r="I182" i="33"/>
  <c r="H182" i="33"/>
  <c r="M181" i="33"/>
  <c r="L181" i="33"/>
  <c r="K181" i="33"/>
  <c r="J181" i="33"/>
  <c r="I181" i="33"/>
  <c r="H181" i="33"/>
  <c r="M180" i="33"/>
  <c r="L180" i="33"/>
  <c r="K180" i="33"/>
  <c r="J180" i="33"/>
  <c r="I180" i="33"/>
  <c r="H180" i="33"/>
  <c r="M179" i="33"/>
  <c r="L179" i="33"/>
  <c r="K179" i="33"/>
  <c r="J179" i="33"/>
  <c r="I179" i="33"/>
  <c r="H179" i="33"/>
  <c r="M178" i="33"/>
  <c r="L178" i="33"/>
  <c r="K178" i="33"/>
  <c r="J178" i="33"/>
  <c r="I178" i="33"/>
  <c r="H178" i="33"/>
  <c r="M176" i="33"/>
  <c r="L176" i="33"/>
  <c r="K176" i="33"/>
  <c r="J176" i="33"/>
  <c r="I176" i="33"/>
  <c r="H176" i="33"/>
  <c r="M175" i="33"/>
  <c r="L175" i="33"/>
  <c r="K175" i="33"/>
  <c r="J175" i="33"/>
  <c r="I175" i="33"/>
  <c r="H175" i="33"/>
  <c r="M174" i="33"/>
  <c r="L174" i="33"/>
  <c r="K174" i="33"/>
  <c r="J174" i="33"/>
  <c r="I174" i="33"/>
  <c r="H174" i="33"/>
  <c r="M173" i="33"/>
  <c r="L173" i="33"/>
  <c r="K173" i="33"/>
  <c r="J173" i="33"/>
  <c r="I173" i="33"/>
  <c r="H173" i="33"/>
  <c r="M172" i="33"/>
  <c r="L172" i="33"/>
  <c r="K172" i="33"/>
  <c r="J172" i="33"/>
  <c r="I172" i="33"/>
  <c r="H172" i="33"/>
  <c r="M171" i="33"/>
  <c r="L171" i="33"/>
  <c r="K171" i="33"/>
  <c r="J171" i="33"/>
  <c r="I171" i="33"/>
  <c r="H171" i="33"/>
  <c r="M170" i="33"/>
  <c r="L170" i="33"/>
  <c r="K170" i="33"/>
  <c r="J170" i="33"/>
  <c r="I170" i="33"/>
  <c r="H170" i="33"/>
  <c r="M169" i="33"/>
  <c r="L169" i="33"/>
  <c r="K169" i="33"/>
  <c r="J169" i="33"/>
  <c r="I169" i="33"/>
  <c r="H169" i="33"/>
  <c r="M168" i="33"/>
  <c r="L168" i="33"/>
  <c r="K168" i="33"/>
  <c r="J168" i="33"/>
  <c r="I168" i="33"/>
  <c r="H168" i="33"/>
  <c r="M166" i="33"/>
  <c r="L166" i="33"/>
  <c r="K166" i="33"/>
  <c r="J166" i="33"/>
  <c r="I166" i="33"/>
  <c r="H166" i="33"/>
  <c r="M165" i="33"/>
  <c r="L165" i="33"/>
  <c r="K165" i="33"/>
  <c r="J165" i="33"/>
  <c r="I165" i="33"/>
  <c r="H165" i="33"/>
  <c r="M164" i="33"/>
  <c r="L164" i="33"/>
  <c r="K164" i="33"/>
  <c r="J164" i="33"/>
  <c r="I164" i="33"/>
  <c r="H164" i="33"/>
  <c r="M163" i="33"/>
  <c r="L163" i="33"/>
  <c r="K163" i="33"/>
  <c r="J163" i="33"/>
  <c r="I163" i="33"/>
  <c r="H163" i="33"/>
  <c r="M162" i="33"/>
  <c r="L162" i="33"/>
  <c r="K162" i="33"/>
  <c r="J162" i="33"/>
  <c r="I162" i="33"/>
  <c r="H162" i="33"/>
  <c r="M161" i="33"/>
  <c r="L161" i="33"/>
  <c r="K161" i="33"/>
  <c r="J161" i="33"/>
  <c r="I161" i="33"/>
  <c r="H161" i="33"/>
  <c r="M160" i="33"/>
  <c r="L160" i="33"/>
  <c r="K160" i="33"/>
  <c r="J160" i="33"/>
  <c r="I160" i="33"/>
  <c r="H160" i="33"/>
  <c r="M159" i="33"/>
  <c r="L159" i="33"/>
  <c r="K159" i="33"/>
  <c r="J159" i="33"/>
  <c r="I159" i="33"/>
  <c r="H159" i="33"/>
  <c r="M158" i="33"/>
  <c r="L158" i="33"/>
  <c r="K158" i="33"/>
  <c r="J158" i="33"/>
  <c r="I158" i="33"/>
  <c r="H158" i="33"/>
  <c r="M156" i="33"/>
  <c r="L156" i="33"/>
  <c r="K156" i="33"/>
  <c r="J156" i="33"/>
  <c r="I156" i="33"/>
  <c r="H156" i="33"/>
  <c r="G156" i="33"/>
  <c r="M155" i="33"/>
  <c r="L155" i="33"/>
  <c r="K155" i="33"/>
  <c r="J155" i="33"/>
  <c r="I155" i="33"/>
  <c r="H155" i="33"/>
  <c r="G155" i="33"/>
  <c r="M154" i="33"/>
  <c r="L154" i="33"/>
  <c r="K154" i="33"/>
  <c r="J154" i="33"/>
  <c r="I154" i="33"/>
  <c r="H154" i="33"/>
  <c r="G154" i="33"/>
  <c r="M153" i="33"/>
  <c r="L153" i="33"/>
  <c r="K153" i="33"/>
  <c r="J153" i="33"/>
  <c r="I153" i="33"/>
  <c r="H153" i="33"/>
  <c r="G153" i="33"/>
  <c r="M152" i="33"/>
  <c r="L152" i="33"/>
  <c r="K152" i="33"/>
  <c r="J152" i="33"/>
  <c r="I152" i="33"/>
  <c r="H152" i="33"/>
  <c r="G152" i="33"/>
  <c r="M151" i="33"/>
  <c r="L151" i="33"/>
  <c r="K151" i="33"/>
  <c r="J151" i="33"/>
  <c r="I151" i="33"/>
  <c r="H151" i="33"/>
  <c r="G151" i="33"/>
  <c r="M150" i="33"/>
  <c r="L150" i="33"/>
  <c r="K150" i="33"/>
  <c r="J150" i="33"/>
  <c r="I150" i="33"/>
  <c r="H150" i="33"/>
  <c r="G150" i="33"/>
  <c r="M149" i="33"/>
  <c r="L149" i="33"/>
  <c r="K149" i="33"/>
  <c r="J149" i="33"/>
  <c r="I149" i="33"/>
  <c r="H149" i="33"/>
  <c r="G149" i="33"/>
  <c r="M148" i="33"/>
  <c r="L148" i="33"/>
  <c r="K148" i="33"/>
  <c r="J148" i="33"/>
  <c r="I148" i="33"/>
  <c r="H148" i="33"/>
  <c r="G148" i="33"/>
  <c r="M146" i="33"/>
  <c r="L146" i="33"/>
  <c r="K146" i="33"/>
  <c r="J146" i="33"/>
  <c r="I146" i="33"/>
  <c r="H146" i="33"/>
  <c r="G146" i="33"/>
  <c r="M145" i="33"/>
  <c r="L145" i="33"/>
  <c r="K145" i="33"/>
  <c r="J145" i="33"/>
  <c r="I145" i="33"/>
  <c r="H145" i="33"/>
  <c r="G145" i="33"/>
  <c r="M144" i="33"/>
  <c r="L144" i="33"/>
  <c r="K144" i="33"/>
  <c r="J144" i="33"/>
  <c r="I144" i="33"/>
  <c r="H144" i="33"/>
  <c r="G144" i="33"/>
  <c r="M143" i="33"/>
  <c r="L143" i="33"/>
  <c r="K143" i="33"/>
  <c r="J143" i="33"/>
  <c r="I143" i="33"/>
  <c r="H143" i="33"/>
  <c r="G143" i="33"/>
  <c r="M142" i="33"/>
  <c r="L142" i="33"/>
  <c r="K142" i="33"/>
  <c r="J142" i="33"/>
  <c r="I142" i="33"/>
  <c r="H142" i="33"/>
  <c r="G142" i="33"/>
  <c r="M141" i="33"/>
  <c r="L141" i="33"/>
  <c r="K141" i="33"/>
  <c r="J141" i="33"/>
  <c r="I141" i="33"/>
  <c r="H141" i="33"/>
  <c r="G141" i="33"/>
  <c r="M140" i="33"/>
  <c r="L140" i="33"/>
  <c r="K140" i="33"/>
  <c r="J140" i="33"/>
  <c r="I140" i="33"/>
  <c r="H140" i="33"/>
  <c r="G140" i="33"/>
  <c r="M139" i="33"/>
  <c r="L139" i="33"/>
  <c r="K139" i="33"/>
  <c r="J139" i="33"/>
  <c r="I139" i="33"/>
  <c r="H139" i="33"/>
  <c r="G139" i="33"/>
  <c r="M138" i="33"/>
  <c r="L138" i="33"/>
  <c r="K138" i="33"/>
  <c r="J138" i="33"/>
  <c r="I138" i="33"/>
  <c r="H138" i="33"/>
  <c r="G138" i="33"/>
  <c r="M136" i="33"/>
  <c r="L136" i="33"/>
  <c r="K136" i="33"/>
  <c r="J136" i="33"/>
  <c r="I136" i="33"/>
  <c r="H136" i="33"/>
  <c r="G136" i="33"/>
  <c r="M135" i="33"/>
  <c r="L135" i="33"/>
  <c r="K135" i="33"/>
  <c r="J135" i="33"/>
  <c r="I135" i="33"/>
  <c r="H135" i="33"/>
  <c r="G135" i="33"/>
  <c r="M134" i="33"/>
  <c r="L134" i="33"/>
  <c r="K134" i="33"/>
  <c r="J134" i="33"/>
  <c r="I134" i="33"/>
  <c r="H134" i="33"/>
  <c r="G134" i="33"/>
  <c r="M133" i="33"/>
  <c r="L133" i="33"/>
  <c r="K133" i="33"/>
  <c r="J133" i="33"/>
  <c r="I133" i="33"/>
  <c r="H133" i="33"/>
  <c r="G133" i="33"/>
  <c r="M132" i="33"/>
  <c r="L132" i="33"/>
  <c r="K132" i="33"/>
  <c r="J132" i="33"/>
  <c r="I132" i="33"/>
  <c r="H132" i="33"/>
  <c r="G132" i="33"/>
  <c r="M131" i="33"/>
  <c r="L131" i="33"/>
  <c r="K131" i="33"/>
  <c r="J131" i="33"/>
  <c r="I131" i="33"/>
  <c r="H131" i="33"/>
  <c r="G131" i="33"/>
  <c r="M130" i="33"/>
  <c r="L130" i="33"/>
  <c r="K130" i="33"/>
  <c r="J130" i="33"/>
  <c r="I130" i="33"/>
  <c r="H130" i="33"/>
  <c r="G130" i="33"/>
  <c r="M129" i="33"/>
  <c r="L129" i="33"/>
  <c r="K129" i="33"/>
  <c r="J129" i="33"/>
  <c r="I129" i="33"/>
  <c r="H129" i="33"/>
  <c r="G129" i="33"/>
  <c r="M128" i="33"/>
  <c r="L128" i="33"/>
  <c r="K128" i="33"/>
  <c r="J128" i="33"/>
  <c r="I128" i="33"/>
  <c r="H128" i="33"/>
  <c r="G128" i="33"/>
  <c r="M126" i="33"/>
  <c r="L126" i="33"/>
  <c r="K126" i="33"/>
  <c r="J126" i="33"/>
  <c r="I126" i="33"/>
  <c r="H126" i="33"/>
  <c r="G126" i="33"/>
  <c r="M125" i="33"/>
  <c r="L125" i="33"/>
  <c r="K125" i="33"/>
  <c r="J125" i="33"/>
  <c r="I125" i="33"/>
  <c r="H125" i="33"/>
  <c r="G125" i="33"/>
  <c r="M124" i="33"/>
  <c r="L124" i="33"/>
  <c r="K124" i="33"/>
  <c r="J124" i="33"/>
  <c r="I124" i="33"/>
  <c r="H124" i="33"/>
  <c r="G124" i="33"/>
  <c r="M123" i="33"/>
  <c r="L123" i="33"/>
  <c r="K123" i="33"/>
  <c r="J123" i="33"/>
  <c r="I123" i="33"/>
  <c r="H123" i="33"/>
  <c r="G123" i="33"/>
  <c r="M122" i="33"/>
  <c r="L122" i="33"/>
  <c r="K122" i="33"/>
  <c r="J122" i="33"/>
  <c r="I122" i="33"/>
  <c r="H122" i="33"/>
  <c r="G122" i="33"/>
  <c r="M121" i="33"/>
  <c r="L121" i="33"/>
  <c r="K121" i="33"/>
  <c r="J121" i="33"/>
  <c r="I121" i="33"/>
  <c r="H121" i="33"/>
  <c r="G121" i="33"/>
  <c r="M120" i="33"/>
  <c r="L120" i="33"/>
  <c r="K120" i="33"/>
  <c r="J120" i="33"/>
  <c r="I120" i="33"/>
  <c r="H120" i="33"/>
  <c r="G120" i="33"/>
  <c r="M119" i="33"/>
  <c r="L119" i="33"/>
  <c r="K119" i="33"/>
  <c r="J119" i="33"/>
  <c r="I119" i="33"/>
  <c r="H119" i="33"/>
  <c r="G119" i="33"/>
  <c r="M118" i="33"/>
  <c r="L118" i="33"/>
  <c r="K118" i="33"/>
  <c r="J118" i="33"/>
  <c r="I118" i="33"/>
  <c r="H118" i="33"/>
  <c r="G118" i="33"/>
  <c r="M116" i="33"/>
  <c r="L116" i="33"/>
  <c r="K116" i="33"/>
  <c r="J116" i="33"/>
  <c r="I116" i="33"/>
  <c r="H116" i="33"/>
  <c r="G116" i="33"/>
  <c r="F116" i="33"/>
  <c r="E116" i="33"/>
  <c r="D116" i="33"/>
  <c r="C116" i="33"/>
  <c r="M115" i="33"/>
  <c r="L115" i="33"/>
  <c r="K115" i="33"/>
  <c r="J115" i="33"/>
  <c r="I115" i="33"/>
  <c r="H115" i="33"/>
  <c r="G115" i="33"/>
  <c r="F115" i="33"/>
  <c r="E115" i="33"/>
  <c r="D115" i="33"/>
  <c r="C115" i="33"/>
  <c r="M114" i="33"/>
  <c r="L114" i="33"/>
  <c r="K114" i="33"/>
  <c r="J114" i="33"/>
  <c r="I114" i="33"/>
  <c r="H114" i="33"/>
  <c r="G114" i="33"/>
  <c r="F114" i="33"/>
  <c r="E114" i="33"/>
  <c r="D114" i="33"/>
  <c r="C114" i="33"/>
  <c r="M113" i="33"/>
  <c r="L113" i="33"/>
  <c r="K113" i="33"/>
  <c r="J113" i="33"/>
  <c r="I113" i="33"/>
  <c r="H113" i="33"/>
  <c r="G113" i="33"/>
  <c r="F113" i="33"/>
  <c r="E113" i="33"/>
  <c r="D113" i="33"/>
  <c r="C113" i="33"/>
  <c r="M112" i="33"/>
  <c r="L112" i="33"/>
  <c r="K112" i="33"/>
  <c r="J112" i="33"/>
  <c r="I112" i="33"/>
  <c r="H112" i="33"/>
  <c r="G112" i="33"/>
  <c r="F112" i="33"/>
  <c r="E112" i="33"/>
  <c r="D112" i="33"/>
  <c r="C112" i="33"/>
  <c r="M111" i="33"/>
  <c r="L111" i="33"/>
  <c r="K111" i="33"/>
  <c r="J111" i="33"/>
  <c r="I111" i="33"/>
  <c r="H111" i="33"/>
  <c r="G111" i="33"/>
  <c r="F111" i="33"/>
  <c r="E111" i="33"/>
  <c r="D111" i="33"/>
  <c r="C111" i="33"/>
  <c r="M110" i="33"/>
  <c r="L110" i="33"/>
  <c r="K110" i="33"/>
  <c r="J110" i="33"/>
  <c r="I110" i="33"/>
  <c r="H110" i="33"/>
  <c r="G110" i="33"/>
  <c r="F110" i="33"/>
  <c r="E110" i="33"/>
  <c r="D110" i="33"/>
  <c r="C110" i="33"/>
  <c r="M109" i="33"/>
  <c r="L109" i="33"/>
  <c r="K109" i="33"/>
  <c r="J109" i="33"/>
  <c r="I109" i="33"/>
  <c r="H109" i="33"/>
  <c r="G109" i="33"/>
  <c r="F109" i="33"/>
  <c r="E109" i="33"/>
  <c r="D109" i="33"/>
  <c r="C109" i="33"/>
  <c r="M108" i="33"/>
  <c r="L108" i="33"/>
  <c r="K108" i="33"/>
  <c r="J108" i="33"/>
  <c r="I108" i="33"/>
  <c r="H108" i="33"/>
  <c r="G108" i="33"/>
  <c r="F108" i="33"/>
  <c r="E108" i="33"/>
  <c r="D108" i="33"/>
  <c r="C108" i="33"/>
  <c r="M106" i="33"/>
  <c r="L106" i="33"/>
  <c r="K106" i="33"/>
  <c r="J106" i="33"/>
  <c r="I106" i="33"/>
  <c r="H106" i="33"/>
  <c r="G106" i="33"/>
  <c r="F106" i="33"/>
  <c r="E106" i="33"/>
  <c r="D106" i="33"/>
  <c r="C106" i="33"/>
  <c r="M105" i="33"/>
  <c r="L105" i="33"/>
  <c r="K105" i="33"/>
  <c r="J105" i="33"/>
  <c r="I105" i="33"/>
  <c r="H105" i="33"/>
  <c r="G105" i="33"/>
  <c r="F105" i="33"/>
  <c r="E105" i="33"/>
  <c r="D105" i="33"/>
  <c r="C105" i="33"/>
  <c r="M104" i="33"/>
  <c r="L104" i="33"/>
  <c r="K104" i="33"/>
  <c r="J104" i="33"/>
  <c r="I104" i="33"/>
  <c r="H104" i="33"/>
  <c r="G104" i="33"/>
  <c r="F104" i="33"/>
  <c r="E104" i="33"/>
  <c r="D104" i="33"/>
  <c r="C104" i="33"/>
  <c r="M103" i="33"/>
  <c r="L103" i="33"/>
  <c r="K103" i="33"/>
  <c r="J103" i="33"/>
  <c r="I103" i="33"/>
  <c r="H103" i="33"/>
  <c r="G103" i="33"/>
  <c r="F103" i="33"/>
  <c r="E103" i="33"/>
  <c r="D103" i="33"/>
  <c r="C103" i="33"/>
  <c r="M102" i="33"/>
  <c r="L102" i="33"/>
  <c r="K102" i="33"/>
  <c r="J102" i="33"/>
  <c r="I102" i="33"/>
  <c r="H102" i="33"/>
  <c r="G102" i="33"/>
  <c r="F102" i="33"/>
  <c r="E102" i="33"/>
  <c r="D102" i="33"/>
  <c r="C102" i="33"/>
  <c r="M101" i="33"/>
  <c r="L101" i="33"/>
  <c r="K101" i="33"/>
  <c r="J101" i="33"/>
  <c r="I101" i="33"/>
  <c r="H101" i="33"/>
  <c r="G101" i="33"/>
  <c r="F101" i="33"/>
  <c r="E101" i="33"/>
  <c r="D101" i="33"/>
  <c r="C101" i="33"/>
  <c r="M100" i="33"/>
  <c r="L100" i="33"/>
  <c r="K100" i="33"/>
  <c r="J100" i="33"/>
  <c r="I100" i="33"/>
  <c r="H100" i="33"/>
  <c r="G100" i="33"/>
  <c r="F100" i="33"/>
  <c r="E100" i="33"/>
  <c r="D100" i="33"/>
  <c r="C100" i="33"/>
  <c r="M99" i="33"/>
  <c r="L99" i="33"/>
  <c r="K99" i="33"/>
  <c r="J99" i="33"/>
  <c r="I99" i="33"/>
  <c r="H99" i="33"/>
  <c r="G99" i="33"/>
  <c r="F99" i="33"/>
  <c r="E99" i="33"/>
  <c r="D99" i="33"/>
  <c r="C99" i="33"/>
  <c r="M98" i="33"/>
  <c r="L98" i="33"/>
  <c r="K98" i="33"/>
  <c r="J98" i="33"/>
  <c r="I98" i="33"/>
  <c r="H98" i="33"/>
  <c r="G98" i="33"/>
  <c r="F98" i="33"/>
  <c r="E98" i="33"/>
  <c r="D98" i="33"/>
  <c r="C98" i="33"/>
  <c r="M96" i="33"/>
  <c r="L96" i="33"/>
  <c r="K96" i="33"/>
  <c r="J96" i="33"/>
  <c r="I96" i="33"/>
  <c r="H96" i="33"/>
  <c r="G96" i="33"/>
  <c r="F96" i="33"/>
  <c r="E96" i="33"/>
  <c r="D96" i="33"/>
  <c r="C96" i="33"/>
  <c r="M95" i="33"/>
  <c r="L95" i="33"/>
  <c r="K95" i="33"/>
  <c r="J95" i="33"/>
  <c r="I95" i="33"/>
  <c r="H95" i="33"/>
  <c r="G95" i="33"/>
  <c r="F95" i="33"/>
  <c r="E95" i="33"/>
  <c r="D95" i="33"/>
  <c r="C95" i="33"/>
  <c r="M94" i="33"/>
  <c r="L94" i="33"/>
  <c r="K94" i="33"/>
  <c r="J94" i="33"/>
  <c r="I94" i="33"/>
  <c r="H94" i="33"/>
  <c r="G94" i="33"/>
  <c r="F94" i="33"/>
  <c r="E94" i="33"/>
  <c r="D94" i="33"/>
  <c r="C94" i="33"/>
  <c r="M93" i="33"/>
  <c r="L93" i="33"/>
  <c r="K93" i="33"/>
  <c r="J93" i="33"/>
  <c r="I93" i="33"/>
  <c r="H93" i="33"/>
  <c r="G93" i="33"/>
  <c r="F93" i="33"/>
  <c r="E93" i="33"/>
  <c r="D93" i="33"/>
  <c r="C93" i="33"/>
  <c r="M92" i="33"/>
  <c r="L92" i="33"/>
  <c r="K92" i="33"/>
  <c r="J92" i="33"/>
  <c r="I92" i="33"/>
  <c r="H92" i="33"/>
  <c r="G92" i="33"/>
  <c r="F92" i="33"/>
  <c r="E92" i="33"/>
  <c r="D92" i="33"/>
  <c r="C92" i="33"/>
  <c r="M91" i="33"/>
  <c r="L91" i="33"/>
  <c r="K91" i="33"/>
  <c r="J91" i="33"/>
  <c r="I91" i="33"/>
  <c r="H91" i="33"/>
  <c r="G91" i="33"/>
  <c r="F91" i="33"/>
  <c r="E91" i="33"/>
  <c r="D91" i="33"/>
  <c r="C91" i="33"/>
  <c r="M90" i="33"/>
  <c r="L90" i="33"/>
  <c r="K90" i="33"/>
  <c r="J90" i="33"/>
  <c r="I90" i="33"/>
  <c r="H90" i="33"/>
  <c r="G90" i="33"/>
  <c r="F90" i="33"/>
  <c r="E90" i="33"/>
  <c r="D90" i="33"/>
  <c r="C90" i="33"/>
  <c r="M89" i="33"/>
  <c r="L89" i="33"/>
  <c r="K89" i="33"/>
  <c r="J89" i="33"/>
  <c r="I89" i="33"/>
  <c r="H89" i="33"/>
  <c r="G89" i="33"/>
  <c r="F89" i="33"/>
  <c r="E89" i="33"/>
  <c r="D89" i="33"/>
  <c r="C89" i="33"/>
  <c r="M88" i="33"/>
  <c r="L88" i="33"/>
  <c r="K88" i="33"/>
  <c r="J88" i="33"/>
  <c r="I88" i="33"/>
  <c r="H88" i="33"/>
  <c r="G88" i="33"/>
  <c r="F88" i="33"/>
  <c r="E88" i="33"/>
  <c r="D88" i="33"/>
  <c r="C88" i="33"/>
  <c r="M86" i="33"/>
  <c r="L86" i="33"/>
  <c r="K86" i="33"/>
  <c r="J86" i="33"/>
  <c r="I86" i="33"/>
  <c r="H86" i="33"/>
  <c r="G86" i="33"/>
  <c r="F86" i="33"/>
  <c r="E86" i="33"/>
  <c r="D86" i="33"/>
  <c r="C86" i="33"/>
  <c r="M85" i="33"/>
  <c r="L85" i="33"/>
  <c r="K85" i="33"/>
  <c r="J85" i="33"/>
  <c r="I85" i="33"/>
  <c r="H85" i="33"/>
  <c r="G85" i="33"/>
  <c r="F85" i="33"/>
  <c r="E85" i="33"/>
  <c r="D85" i="33"/>
  <c r="C85" i="33"/>
  <c r="M84" i="33"/>
  <c r="L84" i="33"/>
  <c r="K84" i="33"/>
  <c r="J84" i="33"/>
  <c r="I84" i="33"/>
  <c r="H84" i="33"/>
  <c r="G84" i="33"/>
  <c r="F84" i="33"/>
  <c r="E84" i="33"/>
  <c r="D84" i="33"/>
  <c r="C84" i="33"/>
  <c r="M83" i="33"/>
  <c r="L83" i="33"/>
  <c r="K83" i="33"/>
  <c r="J83" i="33"/>
  <c r="I83" i="33"/>
  <c r="H83" i="33"/>
  <c r="G83" i="33"/>
  <c r="F83" i="33"/>
  <c r="E83" i="33"/>
  <c r="D83" i="33"/>
  <c r="C83" i="33"/>
  <c r="M82" i="33"/>
  <c r="L82" i="33"/>
  <c r="K82" i="33"/>
  <c r="J82" i="33"/>
  <c r="I82" i="33"/>
  <c r="H82" i="33"/>
  <c r="G82" i="33"/>
  <c r="F82" i="33"/>
  <c r="E82" i="33"/>
  <c r="D82" i="33"/>
  <c r="C82" i="33"/>
  <c r="M81" i="33"/>
  <c r="L81" i="33"/>
  <c r="K81" i="33"/>
  <c r="J81" i="33"/>
  <c r="I81" i="33"/>
  <c r="H81" i="33"/>
  <c r="G81" i="33"/>
  <c r="F81" i="33"/>
  <c r="E81" i="33"/>
  <c r="D81" i="33"/>
  <c r="C81" i="33"/>
  <c r="M80" i="33"/>
  <c r="L80" i="33"/>
  <c r="K80" i="33"/>
  <c r="J80" i="33"/>
  <c r="I80" i="33"/>
  <c r="H80" i="33"/>
  <c r="G80" i="33"/>
  <c r="F80" i="33"/>
  <c r="E80" i="33"/>
  <c r="D80" i="33"/>
  <c r="C80" i="33"/>
  <c r="M79" i="33"/>
  <c r="L79" i="33"/>
  <c r="K79" i="33"/>
  <c r="J79" i="33"/>
  <c r="I79" i="33"/>
  <c r="H79" i="33"/>
  <c r="G79" i="33"/>
  <c r="F79" i="33"/>
  <c r="E79" i="33"/>
  <c r="D79" i="33"/>
  <c r="C79" i="33"/>
  <c r="M78" i="33"/>
  <c r="L78" i="33"/>
  <c r="K78" i="33"/>
  <c r="J78" i="33"/>
  <c r="I78" i="33"/>
  <c r="H78" i="33"/>
  <c r="G78" i="33"/>
  <c r="F78" i="33"/>
  <c r="E78" i="33"/>
  <c r="D78" i="33"/>
  <c r="C78" i="33"/>
  <c r="M76" i="33"/>
  <c r="L76" i="33"/>
  <c r="K76" i="33"/>
  <c r="J76" i="33"/>
  <c r="I76" i="33"/>
  <c r="H76" i="33"/>
  <c r="G76" i="33"/>
  <c r="F76" i="33"/>
  <c r="E76" i="33"/>
  <c r="D76" i="33"/>
  <c r="C76" i="33"/>
  <c r="M75" i="33"/>
  <c r="L75" i="33"/>
  <c r="K75" i="33"/>
  <c r="J75" i="33"/>
  <c r="I75" i="33"/>
  <c r="H75" i="33"/>
  <c r="G75" i="33"/>
  <c r="F75" i="33"/>
  <c r="E75" i="33"/>
  <c r="D75" i="33"/>
  <c r="C75" i="33"/>
  <c r="M74" i="33"/>
  <c r="L74" i="33"/>
  <c r="K74" i="33"/>
  <c r="J74" i="33"/>
  <c r="I74" i="33"/>
  <c r="H74" i="33"/>
  <c r="G74" i="33"/>
  <c r="F74" i="33"/>
  <c r="E74" i="33"/>
  <c r="D74" i="33"/>
  <c r="C74" i="33"/>
  <c r="M73" i="33"/>
  <c r="L73" i="33"/>
  <c r="K73" i="33"/>
  <c r="J73" i="33"/>
  <c r="I73" i="33"/>
  <c r="H73" i="33"/>
  <c r="G73" i="33"/>
  <c r="F73" i="33"/>
  <c r="E73" i="33"/>
  <c r="D73" i="33"/>
  <c r="C73" i="33"/>
  <c r="M72" i="33"/>
  <c r="L72" i="33"/>
  <c r="K72" i="33"/>
  <c r="J72" i="33"/>
  <c r="I72" i="33"/>
  <c r="H72" i="33"/>
  <c r="G72" i="33"/>
  <c r="F72" i="33"/>
  <c r="E72" i="33"/>
  <c r="D72" i="33"/>
  <c r="C72" i="33"/>
  <c r="M71" i="33"/>
  <c r="L71" i="33"/>
  <c r="K71" i="33"/>
  <c r="J71" i="33"/>
  <c r="I71" i="33"/>
  <c r="H71" i="33"/>
  <c r="G71" i="33"/>
  <c r="F71" i="33"/>
  <c r="E71" i="33"/>
  <c r="D71" i="33"/>
  <c r="C71" i="33"/>
  <c r="M70" i="33"/>
  <c r="L70" i="33"/>
  <c r="K70" i="33"/>
  <c r="J70" i="33"/>
  <c r="I70" i="33"/>
  <c r="H70" i="33"/>
  <c r="G70" i="33"/>
  <c r="F70" i="33"/>
  <c r="E70" i="33"/>
  <c r="D70" i="33"/>
  <c r="C70" i="33"/>
  <c r="M69" i="33"/>
  <c r="L69" i="33"/>
  <c r="K69" i="33"/>
  <c r="J69" i="33"/>
  <c r="I69" i="33"/>
  <c r="H69" i="33"/>
  <c r="G69" i="33"/>
  <c r="F69" i="33"/>
  <c r="E69" i="33"/>
  <c r="D69" i="33"/>
  <c r="C69" i="33"/>
  <c r="M68" i="33"/>
  <c r="L68" i="33"/>
  <c r="K68" i="33"/>
  <c r="J68" i="33"/>
  <c r="I68" i="33"/>
  <c r="H68" i="33"/>
  <c r="G68" i="33"/>
  <c r="F68" i="33"/>
  <c r="E68" i="33"/>
  <c r="D68" i="33"/>
  <c r="C68" i="33"/>
  <c r="M66" i="33"/>
  <c r="L66" i="33"/>
  <c r="K66" i="33"/>
  <c r="J66" i="33"/>
  <c r="I66" i="33"/>
  <c r="H66" i="33"/>
  <c r="G66" i="33"/>
  <c r="F66" i="33"/>
  <c r="E66" i="33"/>
  <c r="D66" i="33"/>
  <c r="C66" i="33"/>
  <c r="M65" i="33"/>
  <c r="L65" i="33"/>
  <c r="K65" i="33"/>
  <c r="J65" i="33"/>
  <c r="I65" i="33"/>
  <c r="H65" i="33"/>
  <c r="G65" i="33"/>
  <c r="F65" i="33"/>
  <c r="E65" i="33"/>
  <c r="D65" i="33"/>
  <c r="C65" i="33"/>
  <c r="M64" i="33"/>
  <c r="L64" i="33"/>
  <c r="K64" i="33"/>
  <c r="J64" i="33"/>
  <c r="I64" i="33"/>
  <c r="H64" i="33"/>
  <c r="G64" i="33"/>
  <c r="F64" i="33"/>
  <c r="E64" i="33"/>
  <c r="D64" i="33"/>
  <c r="C64" i="33"/>
  <c r="M63" i="33"/>
  <c r="L63" i="33"/>
  <c r="K63" i="33"/>
  <c r="J63" i="33"/>
  <c r="I63" i="33"/>
  <c r="H63" i="33"/>
  <c r="G63" i="33"/>
  <c r="F63" i="33"/>
  <c r="E63" i="33"/>
  <c r="D63" i="33"/>
  <c r="C63" i="33"/>
  <c r="M62" i="33"/>
  <c r="L62" i="33"/>
  <c r="K62" i="33"/>
  <c r="J62" i="33"/>
  <c r="I62" i="33"/>
  <c r="H62" i="33"/>
  <c r="G62" i="33"/>
  <c r="F62" i="33"/>
  <c r="E62" i="33"/>
  <c r="D62" i="33"/>
  <c r="C62" i="33"/>
  <c r="M61" i="33"/>
  <c r="L61" i="33"/>
  <c r="K61" i="33"/>
  <c r="J61" i="33"/>
  <c r="I61" i="33"/>
  <c r="H61" i="33"/>
  <c r="G61" i="33"/>
  <c r="F61" i="33"/>
  <c r="E61" i="33"/>
  <c r="D61" i="33"/>
  <c r="C61" i="33"/>
  <c r="M60" i="33"/>
  <c r="L60" i="33"/>
  <c r="K60" i="33"/>
  <c r="J60" i="33"/>
  <c r="I60" i="33"/>
  <c r="H60" i="33"/>
  <c r="G60" i="33"/>
  <c r="F60" i="33"/>
  <c r="E60" i="33"/>
  <c r="D60" i="33"/>
  <c r="C60" i="33"/>
  <c r="M59" i="33"/>
  <c r="L59" i="33"/>
  <c r="K59" i="33"/>
  <c r="J59" i="33"/>
  <c r="I59" i="33"/>
  <c r="H59" i="33"/>
  <c r="G59" i="33"/>
  <c r="F59" i="33"/>
  <c r="E59" i="33"/>
  <c r="D59" i="33"/>
  <c r="C59" i="33"/>
  <c r="M58" i="33"/>
  <c r="L58" i="33"/>
  <c r="K58" i="33"/>
  <c r="J58" i="33"/>
  <c r="I58" i="33"/>
  <c r="H58" i="33"/>
  <c r="G58" i="33"/>
  <c r="F58" i="33"/>
  <c r="E58" i="33"/>
  <c r="D58" i="33"/>
  <c r="C58" i="33"/>
  <c r="M56" i="33"/>
  <c r="L56" i="33"/>
  <c r="K56" i="33"/>
  <c r="J56" i="33"/>
  <c r="I56" i="33"/>
  <c r="H56" i="33"/>
  <c r="G56" i="33"/>
  <c r="F56" i="33"/>
  <c r="E56" i="33"/>
  <c r="D56" i="33"/>
  <c r="C56" i="33"/>
  <c r="M55" i="33"/>
  <c r="L55" i="33"/>
  <c r="K55" i="33"/>
  <c r="J55" i="33"/>
  <c r="I55" i="33"/>
  <c r="H55" i="33"/>
  <c r="G55" i="33"/>
  <c r="F55" i="33"/>
  <c r="E55" i="33"/>
  <c r="D55" i="33"/>
  <c r="C55" i="33"/>
  <c r="M54" i="33"/>
  <c r="L54" i="33"/>
  <c r="K54" i="33"/>
  <c r="J54" i="33"/>
  <c r="I54" i="33"/>
  <c r="H54" i="33"/>
  <c r="G54" i="33"/>
  <c r="F54" i="33"/>
  <c r="E54" i="33"/>
  <c r="D54" i="33"/>
  <c r="C54" i="33"/>
  <c r="M53" i="33"/>
  <c r="L53" i="33"/>
  <c r="K53" i="33"/>
  <c r="J53" i="33"/>
  <c r="I53" i="33"/>
  <c r="H53" i="33"/>
  <c r="G53" i="33"/>
  <c r="F53" i="33"/>
  <c r="E53" i="33"/>
  <c r="D53" i="33"/>
  <c r="C53" i="33"/>
  <c r="M52" i="33"/>
  <c r="L52" i="33"/>
  <c r="K52" i="33"/>
  <c r="J52" i="33"/>
  <c r="I52" i="33"/>
  <c r="H52" i="33"/>
  <c r="G52" i="33"/>
  <c r="F52" i="33"/>
  <c r="E52" i="33"/>
  <c r="D52" i="33"/>
  <c r="C52" i="33"/>
  <c r="M51" i="33"/>
  <c r="L51" i="33"/>
  <c r="K51" i="33"/>
  <c r="J51" i="33"/>
  <c r="I51" i="33"/>
  <c r="H51" i="33"/>
  <c r="G51" i="33"/>
  <c r="F51" i="33"/>
  <c r="E51" i="33"/>
  <c r="D51" i="33"/>
  <c r="C51" i="33"/>
  <c r="M50" i="33"/>
  <c r="L50" i="33"/>
  <c r="K50" i="33"/>
  <c r="J50" i="33"/>
  <c r="I50" i="33"/>
  <c r="H50" i="33"/>
  <c r="G50" i="33"/>
  <c r="F50" i="33"/>
  <c r="E50" i="33"/>
  <c r="D50" i="33"/>
  <c r="C50" i="33"/>
  <c r="M49" i="33"/>
  <c r="L49" i="33"/>
  <c r="K49" i="33"/>
  <c r="J49" i="33"/>
  <c r="I49" i="33"/>
  <c r="H49" i="33"/>
  <c r="G49" i="33"/>
  <c r="F49" i="33"/>
  <c r="E49" i="33"/>
  <c r="D49" i="33"/>
  <c r="C49" i="33"/>
  <c r="M48" i="33"/>
  <c r="L48" i="33"/>
  <c r="K48" i="33"/>
  <c r="J48" i="33"/>
  <c r="I48" i="33"/>
  <c r="H48" i="33"/>
  <c r="G48" i="33"/>
  <c r="F48" i="33"/>
  <c r="E48" i="33"/>
  <c r="D48" i="33"/>
  <c r="C48" i="33"/>
  <c r="M46" i="33"/>
  <c r="L46" i="33"/>
  <c r="K46" i="33"/>
  <c r="J46" i="33"/>
  <c r="I46" i="33"/>
  <c r="H46" i="33"/>
  <c r="G46" i="33"/>
  <c r="F46" i="33"/>
  <c r="E46" i="33"/>
  <c r="D46" i="33"/>
  <c r="C46" i="33"/>
  <c r="M45" i="33"/>
  <c r="L45" i="33"/>
  <c r="K45" i="33"/>
  <c r="J45" i="33"/>
  <c r="I45" i="33"/>
  <c r="H45" i="33"/>
  <c r="G45" i="33"/>
  <c r="F45" i="33"/>
  <c r="E45" i="33"/>
  <c r="D45" i="33"/>
  <c r="C45" i="33"/>
  <c r="M44" i="33"/>
  <c r="L44" i="33"/>
  <c r="K44" i="33"/>
  <c r="J44" i="33"/>
  <c r="I44" i="33"/>
  <c r="H44" i="33"/>
  <c r="G44" i="33"/>
  <c r="F44" i="33"/>
  <c r="E44" i="33"/>
  <c r="D44" i="33"/>
  <c r="C44" i="33"/>
  <c r="M43" i="33"/>
  <c r="L43" i="33"/>
  <c r="K43" i="33"/>
  <c r="J43" i="33"/>
  <c r="I43" i="33"/>
  <c r="H43" i="33"/>
  <c r="G43" i="33"/>
  <c r="F43" i="33"/>
  <c r="E43" i="33"/>
  <c r="D43" i="33"/>
  <c r="C43" i="33"/>
  <c r="M42" i="33"/>
  <c r="L42" i="33"/>
  <c r="K42" i="33"/>
  <c r="J42" i="33"/>
  <c r="I42" i="33"/>
  <c r="H42" i="33"/>
  <c r="G42" i="33"/>
  <c r="F42" i="33"/>
  <c r="E42" i="33"/>
  <c r="D42" i="33"/>
  <c r="C42" i="33"/>
  <c r="M41" i="33"/>
  <c r="L41" i="33"/>
  <c r="K41" i="33"/>
  <c r="J41" i="33"/>
  <c r="I41" i="33"/>
  <c r="H41" i="33"/>
  <c r="G41" i="33"/>
  <c r="F41" i="33"/>
  <c r="E41" i="33"/>
  <c r="D41" i="33"/>
  <c r="C41" i="33"/>
  <c r="M40" i="33"/>
  <c r="L40" i="33"/>
  <c r="K40" i="33"/>
  <c r="J40" i="33"/>
  <c r="I40" i="33"/>
  <c r="H40" i="33"/>
  <c r="G40" i="33"/>
  <c r="F40" i="33"/>
  <c r="E40" i="33"/>
  <c r="D40" i="33"/>
  <c r="C40" i="33"/>
  <c r="M39" i="33"/>
  <c r="L39" i="33"/>
  <c r="K39" i="33"/>
  <c r="J39" i="33"/>
  <c r="I39" i="33"/>
  <c r="H39" i="33"/>
  <c r="G39" i="33"/>
  <c r="F39" i="33"/>
  <c r="E39" i="33"/>
  <c r="D39" i="33"/>
  <c r="C39" i="33"/>
  <c r="M38" i="33"/>
  <c r="L38" i="33"/>
  <c r="K38" i="33"/>
  <c r="J38" i="33"/>
  <c r="I38" i="33"/>
  <c r="H38" i="33"/>
  <c r="G38" i="33"/>
  <c r="F38" i="33"/>
  <c r="E38" i="33"/>
  <c r="D38" i="33"/>
  <c r="C38" i="33"/>
  <c r="D33" i="33"/>
  <c r="B33" i="33"/>
  <c r="D32" i="33"/>
  <c r="B32" i="33"/>
  <c r="D31" i="33"/>
  <c r="B31" i="33"/>
  <c r="D30" i="33"/>
  <c r="B30" i="33"/>
  <c r="D29" i="33"/>
  <c r="B29" i="33"/>
  <c r="D28" i="33"/>
  <c r="B28" i="33"/>
  <c r="D27" i="33"/>
  <c r="B27" i="33"/>
  <c r="D26" i="33"/>
  <c r="B26" i="33"/>
  <c r="D25" i="33"/>
  <c r="B25" i="33"/>
  <c r="D24" i="33"/>
  <c r="B24" i="33"/>
  <c r="D23" i="33"/>
  <c r="B23" i="33"/>
  <c r="D22" i="33"/>
  <c r="B22" i="33"/>
  <c r="M76" i="32"/>
  <c r="L76" i="32"/>
  <c r="M75" i="32"/>
  <c r="L75" i="32"/>
  <c r="M74" i="32"/>
  <c r="L74" i="32"/>
  <c r="M73" i="32"/>
  <c r="L73" i="32"/>
  <c r="M71" i="32"/>
  <c r="L71" i="32"/>
  <c r="K71" i="32"/>
  <c r="J71" i="32"/>
  <c r="I71" i="32"/>
  <c r="H71" i="32"/>
  <c r="G71" i="32"/>
  <c r="F71" i="32"/>
  <c r="E71" i="32"/>
  <c r="D71" i="32"/>
  <c r="M70" i="32"/>
  <c r="L70" i="32"/>
  <c r="K70" i="32"/>
  <c r="J70" i="32"/>
  <c r="I70" i="32"/>
  <c r="H70" i="32"/>
  <c r="G70" i="32"/>
  <c r="F70" i="32"/>
  <c r="E70" i="32"/>
  <c r="D70" i="32"/>
  <c r="M69" i="32"/>
  <c r="L69" i="32"/>
  <c r="K69" i="32"/>
  <c r="J69" i="32"/>
  <c r="I69" i="32"/>
  <c r="H69" i="32"/>
  <c r="G69" i="32"/>
  <c r="F69" i="32"/>
  <c r="E69" i="32"/>
  <c r="D69" i="32"/>
  <c r="M68" i="32"/>
  <c r="L68" i="32"/>
  <c r="K68" i="32"/>
  <c r="J68" i="32"/>
  <c r="I68" i="32"/>
  <c r="H68" i="32"/>
  <c r="G68" i="32"/>
  <c r="F68" i="32"/>
  <c r="E68" i="32"/>
  <c r="D68" i="32"/>
  <c r="M66" i="32"/>
  <c r="L66" i="32"/>
  <c r="K66" i="32"/>
  <c r="J66" i="32"/>
  <c r="I66" i="32"/>
  <c r="H66" i="32"/>
  <c r="G66" i="32"/>
  <c r="F66" i="32"/>
  <c r="E66" i="32"/>
  <c r="D66" i="32"/>
  <c r="M65" i="32"/>
  <c r="L65" i="32"/>
  <c r="K65" i="32"/>
  <c r="J65" i="32"/>
  <c r="I65" i="32"/>
  <c r="H65" i="32"/>
  <c r="G65" i="32"/>
  <c r="F65" i="32"/>
  <c r="E65" i="32"/>
  <c r="D65" i="32"/>
  <c r="M64" i="32"/>
  <c r="L64" i="32"/>
  <c r="K64" i="32"/>
  <c r="J64" i="32"/>
  <c r="I64" i="32"/>
  <c r="H64" i="32"/>
  <c r="G64" i="32"/>
  <c r="F64" i="32"/>
  <c r="E64" i="32"/>
  <c r="D64" i="32"/>
  <c r="M63" i="32"/>
  <c r="L63" i="32"/>
  <c r="K63" i="32"/>
  <c r="J63" i="32"/>
  <c r="I63" i="32"/>
  <c r="H63" i="32"/>
  <c r="G63" i="32"/>
  <c r="F63" i="32"/>
  <c r="E63" i="32"/>
  <c r="D63" i="32"/>
  <c r="M61" i="32"/>
  <c r="L61" i="32"/>
  <c r="K61" i="32"/>
  <c r="J61" i="32"/>
  <c r="I61" i="32"/>
  <c r="H61" i="32"/>
  <c r="G61" i="32"/>
  <c r="F61" i="32"/>
  <c r="E61" i="32"/>
  <c r="D61" i="32"/>
  <c r="M60" i="32"/>
  <c r="L60" i="32"/>
  <c r="K60" i="32"/>
  <c r="J60" i="32"/>
  <c r="I60" i="32"/>
  <c r="H60" i="32"/>
  <c r="G60" i="32"/>
  <c r="F60" i="32"/>
  <c r="E60" i="32"/>
  <c r="D60" i="32"/>
  <c r="M59" i="32"/>
  <c r="L59" i="32"/>
  <c r="K59" i="32"/>
  <c r="J59" i="32"/>
  <c r="I59" i="32"/>
  <c r="H59" i="32"/>
  <c r="G59" i="32"/>
  <c r="F59" i="32"/>
  <c r="E59" i="32"/>
  <c r="D59" i="32"/>
  <c r="M58" i="32"/>
  <c r="L58" i="32"/>
  <c r="K58" i="32"/>
  <c r="J58" i="32"/>
  <c r="I58" i="32"/>
  <c r="H58" i="32"/>
  <c r="G58" i="32"/>
  <c r="F58" i="32"/>
  <c r="E58" i="32"/>
  <c r="D58" i="32"/>
  <c r="M56" i="32"/>
  <c r="L56" i="32"/>
  <c r="K56" i="32"/>
  <c r="J56" i="32"/>
  <c r="I56" i="32"/>
  <c r="H56" i="32"/>
  <c r="G56" i="32"/>
  <c r="F56" i="32"/>
  <c r="E56" i="32"/>
  <c r="D56" i="32"/>
  <c r="M55" i="32"/>
  <c r="L55" i="32"/>
  <c r="K55" i="32"/>
  <c r="J55" i="32"/>
  <c r="I55" i="32"/>
  <c r="H55" i="32"/>
  <c r="G55" i="32"/>
  <c r="F55" i="32"/>
  <c r="E55" i="32"/>
  <c r="D55" i="32"/>
  <c r="M54" i="32"/>
  <c r="L54" i="32"/>
  <c r="K54" i="32"/>
  <c r="J54" i="32"/>
  <c r="I54" i="32"/>
  <c r="H54" i="32"/>
  <c r="G54" i="32"/>
  <c r="F54" i="32"/>
  <c r="E54" i="32"/>
  <c r="D54" i="32"/>
  <c r="M53" i="32"/>
  <c r="L53" i="32"/>
  <c r="K53" i="32"/>
  <c r="J53" i="32"/>
  <c r="I53" i="32"/>
  <c r="H53" i="32"/>
  <c r="G53" i="32"/>
  <c r="F53" i="32"/>
  <c r="E53" i="32"/>
  <c r="D53" i="32"/>
  <c r="M51" i="32"/>
  <c r="L51" i="32"/>
  <c r="K51" i="32"/>
  <c r="J51" i="32"/>
  <c r="I51" i="32"/>
  <c r="H51" i="32"/>
  <c r="G51" i="32"/>
  <c r="F51" i="32"/>
  <c r="E51" i="32"/>
  <c r="D51" i="32"/>
  <c r="M50" i="32"/>
  <c r="L50" i="32"/>
  <c r="K50" i="32"/>
  <c r="J50" i="32"/>
  <c r="I50" i="32"/>
  <c r="H50" i="32"/>
  <c r="G50" i="32"/>
  <c r="F50" i="32"/>
  <c r="E50" i="32"/>
  <c r="D50" i="32"/>
  <c r="M49" i="32"/>
  <c r="L49" i="32"/>
  <c r="K49" i="32"/>
  <c r="J49" i="32"/>
  <c r="I49" i="32"/>
  <c r="H49" i="32"/>
  <c r="G49" i="32"/>
  <c r="F49" i="32"/>
  <c r="E49" i="32"/>
  <c r="D49" i="32"/>
  <c r="M48" i="32"/>
  <c r="L48" i="32"/>
  <c r="K48" i="32"/>
  <c r="J48" i="32"/>
  <c r="I48" i="32"/>
  <c r="H48" i="32"/>
  <c r="G48" i="32"/>
  <c r="F48" i="32"/>
  <c r="E48" i="32"/>
  <c r="D48" i="32"/>
  <c r="M46" i="32"/>
  <c r="L46" i="32"/>
  <c r="K46" i="32"/>
  <c r="J46" i="32"/>
  <c r="I46" i="32"/>
  <c r="H46" i="32"/>
  <c r="G46" i="32"/>
  <c r="F46" i="32"/>
  <c r="E46" i="32"/>
  <c r="D46" i="32"/>
  <c r="M45" i="32"/>
  <c r="L45" i="32"/>
  <c r="K45" i="32"/>
  <c r="J45" i="32"/>
  <c r="I45" i="32"/>
  <c r="H45" i="32"/>
  <c r="G45" i="32"/>
  <c r="F45" i="32"/>
  <c r="E45" i="32"/>
  <c r="D45" i="32"/>
  <c r="M44" i="32"/>
  <c r="L44" i="32"/>
  <c r="K44" i="32"/>
  <c r="J44" i="32"/>
  <c r="I44" i="32"/>
  <c r="H44" i="32"/>
  <c r="G44" i="32"/>
  <c r="F44" i="32"/>
  <c r="E44" i="32"/>
  <c r="D44" i="32"/>
  <c r="M43" i="32"/>
  <c r="L43" i="32"/>
  <c r="K43" i="32"/>
  <c r="J43" i="32"/>
  <c r="I43" i="32"/>
  <c r="H43" i="32"/>
  <c r="G43" i="32"/>
  <c r="F43" i="32"/>
  <c r="E43" i="32"/>
  <c r="D43" i="32"/>
  <c r="M41" i="32"/>
  <c r="L41" i="32"/>
  <c r="K41" i="32"/>
  <c r="J41" i="32"/>
  <c r="I41" i="32"/>
  <c r="H41" i="32"/>
  <c r="G41" i="32"/>
  <c r="F41" i="32"/>
  <c r="E41" i="32"/>
  <c r="D41" i="32"/>
  <c r="M40" i="32"/>
  <c r="L40" i="32"/>
  <c r="K40" i="32"/>
  <c r="J40" i="32"/>
  <c r="I40" i="32"/>
  <c r="H40" i="32"/>
  <c r="G40" i="32"/>
  <c r="F40" i="32"/>
  <c r="E40" i="32"/>
  <c r="D40" i="32"/>
  <c r="M39" i="32"/>
  <c r="L39" i="32"/>
  <c r="K39" i="32"/>
  <c r="J39" i="32"/>
  <c r="I39" i="32"/>
  <c r="H39" i="32"/>
  <c r="G39" i="32"/>
  <c r="F39" i="32"/>
  <c r="E39" i="32"/>
  <c r="D39" i="32"/>
  <c r="M38" i="32"/>
  <c r="L38" i="32"/>
  <c r="K38" i="32"/>
  <c r="J38" i="32"/>
  <c r="I38" i="32"/>
  <c r="H38" i="32"/>
  <c r="G38" i="32"/>
  <c r="F38" i="32"/>
  <c r="E38" i="32"/>
  <c r="D38" i="32"/>
  <c r="M36" i="32"/>
  <c r="L36" i="32"/>
  <c r="K36" i="32"/>
  <c r="J36" i="32"/>
  <c r="I36" i="32"/>
  <c r="H36" i="32"/>
  <c r="G36" i="32"/>
  <c r="F36" i="32"/>
  <c r="E36" i="32"/>
  <c r="D36" i="32"/>
  <c r="M35" i="32"/>
  <c r="L35" i="32"/>
  <c r="K35" i="32"/>
  <c r="J35" i="32"/>
  <c r="I35" i="32"/>
  <c r="H35" i="32"/>
  <c r="G35" i="32"/>
  <c r="F35" i="32"/>
  <c r="E35" i="32"/>
  <c r="D35" i="32"/>
  <c r="M34" i="32"/>
  <c r="L34" i="32"/>
  <c r="K34" i="32"/>
  <c r="J34" i="32"/>
  <c r="I34" i="32"/>
  <c r="H34" i="32"/>
  <c r="G34" i="32"/>
  <c r="F34" i="32"/>
  <c r="E34" i="32"/>
  <c r="D34" i="32"/>
  <c r="M33" i="32"/>
  <c r="L33" i="32"/>
  <c r="K33" i="32"/>
  <c r="J33" i="32"/>
  <c r="I33" i="32"/>
  <c r="H33" i="32"/>
  <c r="G33" i="32"/>
  <c r="F33" i="32"/>
  <c r="E33" i="32"/>
  <c r="D33" i="32"/>
  <c r="D27" i="32"/>
  <c r="D26" i="32"/>
  <c r="D25" i="32"/>
  <c r="D24" i="32"/>
  <c r="D23" i="32"/>
  <c r="C16" i="31"/>
  <c r="C19" i="31"/>
  <c r="C20" i="31"/>
  <c r="C23" i="31"/>
  <c r="C24" i="31"/>
  <c r="C27" i="31"/>
  <c r="C31" i="31"/>
  <c r="C32" i="31"/>
  <c r="C35" i="31"/>
  <c r="C36" i="31"/>
  <c r="C37" i="31"/>
  <c r="C38" i="31"/>
  <c r="C39" i="31"/>
  <c r="C40" i="31"/>
  <c r="C41" i="31"/>
  <c r="C42" i="31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N164" i="29" l="1"/>
  <c r="N163" i="29"/>
  <c r="N162" i="29"/>
  <c r="N161" i="29"/>
  <c r="N160" i="29"/>
  <c r="N159" i="29"/>
  <c r="N158" i="29"/>
  <c r="N157" i="29"/>
  <c r="N156" i="29"/>
  <c r="N155" i="29"/>
  <c r="N154" i="29"/>
  <c r="N125" i="29"/>
  <c r="N124" i="29"/>
  <c r="N123" i="29"/>
  <c r="N122" i="29"/>
  <c r="N121" i="29"/>
  <c r="N120" i="29"/>
  <c r="N119" i="29"/>
  <c r="N118" i="29"/>
  <c r="N117" i="29"/>
  <c r="N116" i="29"/>
  <c r="N115" i="29"/>
  <c r="N84" i="29"/>
  <c r="N83" i="29"/>
  <c r="N82" i="29"/>
  <c r="N81" i="29"/>
  <c r="N80" i="29"/>
  <c r="N79" i="29"/>
  <c r="N78" i="29"/>
  <c r="N77" i="29"/>
  <c r="N76" i="29"/>
  <c r="N75" i="29"/>
  <c r="N74" i="29"/>
  <c r="N45" i="29"/>
  <c r="N44" i="29"/>
  <c r="N43" i="29"/>
  <c r="N42" i="29"/>
  <c r="N41" i="29"/>
  <c r="N40" i="29"/>
  <c r="N39" i="29"/>
  <c r="N38" i="29"/>
  <c r="N37" i="29"/>
  <c r="N36" i="29"/>
  <c r="N35" i="29"/>
  <c r="D32" i="29"/>
  <c r="D31" i="29"/>
  <c r="D30" i="29"/>
  <c r="D29" i="29"/>
  <c r="W226" i="28"/>
  <c r="U226" i="28"/>
  <c r="S226" i="28"/>
  <c r="Q226" i="28"/>
  <c r="W225" i="28"/>
  <c r="U225" i="28"/>
  <c r="S225" i="28"/>
  <c r="Q225" i="28"/>
  <c r="W224" i="28"/>
  <c r="U224" i="28"/>
  <c r="S224" i="28"/>
  <c r="Q224" i="28"/>
  <c r="W223" i="28"/>
  <c r="U223" i="28"/>
  <c r="S223" i="28"/>
  <c r="Q223" i="28"/>
  <c r="W222" i="28"/>
  <c r="U222" i="28"/>
  <c r="S222" i="28"/>
  <c r="Q222" i="28"/>
  <c r="W221" i="28"/>
  <c r="U221" i="28"/>
  <c r="S221" i="28"/>
  <c r="Q221" i="28"/>
  <c r="W220" i="28"/>
  <c r="U220" i="28"/>
  <c r="S220" i="28"/>
  <c r="Q220" i="28"/>
  <c r="W219" i="28"/>
  <c r="U219" i="28"/>
  <c r="S219" i="28"/>
  <c r="Q219" i="28"/>
  <c r="W218" i="28"/>
  <c r="U218" i="28"/>
  <c r="S218" i="28"/>
  <c r="Q218" i="28"/>
  <c r="W216" i="28"/>
  <c r="U216" i="28"/>
  <c r="S216" i="28"/>
  <c r="Q216" i="28"/>
  <c r="W215" i="28"/>
  <c r="U215" i="28"/>
  <c r="S215" i="28"/>
  <c r="Q215" i="28"/>
  <c r="W214" i="28"/>
  <c r="U214" i="28"/>
  <c r="S214" i="28"/>
  <c r="Q214" i="28"/>
  <c r="W213" i="28"/>
  <c r="U213" i="28"/>
  <c r="S213" i="28"/>
  <c r="Q213" i="28"/>
  <c r="W212" i="28"/>
  <c r="U212" i="28"/>
  <c r="S212" i="28"/>
  <c r="Q212" i="28"/>
  <c r="W211" i="28"/>
  <c r="U211" i="28"/>
  <c r="S211" i="28"/>
  <c r="Q211" i="28"/>
  <c r="W210" i="28"/>
  <c r="U210" i="28"/>
  <c r="S210" i="28"/>
  <c r="Q210" i="28"/>
  <c r="W209" i="28"/>
  <c r="U209" i="28"/>
  <c r="S209" i="28"/>
  <c r="Q209" i="28"/>
  <c r="W208" i="28"/>
  <c r="U208" i="28"/>
  <c r="S208" i="28"/>
  <c r="Q208" i="28"/>
  <c r="W206" i="28"/>
  <c r="U206" i="28"/>
  <c r="S206" i="28"/>
  <c r="Q206" i="28"/>
  <c r="W205" i="28"/>
  <c r="U205" i="28"/>
  <c r="S205" i="28"/>
  <c r="Q205" i="28"/>
  <c r="W204" i="28"/>
  <c r="U204" i="28"/>
  <c r="S204" i="28"/>
  <c r="Q204" i="28"/>
  <c r="W203" i="28"/>
  <c r="U203" i="28"/>
  <c r="S203" i="28"/>
  <c r="Q203" i="28"/>
  <c r="W202" i="28"/>
  <c r="U202" i="28"/>
  <c r="S202" i="28"/>
  <c r="Q202" i="28"/>
  <c r="W201" i="28"/>
  <c r="U201" i="28"/>
  <c r="S201" i="28"/>
  <c r="Q201" i="28"/>
  <c r="W200" i="28"/>
  <c r="U200" i="28"/>
  <c r="S200" i="28"/>
  <c r="Q200" i="28"/>
  <c r="W199" i="28"/>
  <c r="U199" i="28"/>
  <c r="S199" i="28"/>
  <c r="Q199" i="28"/>
  <c r="W198" i="28"/>
  <c r="U198" i="28"/>
  <c r="S198" i="28"/>
  <c r="Q198" i="28"/>
  <c r="W196" i="28"/>
  <c r="U196" i="28"/>
  <c r="S196" i="28"/>
  <c r="Q196" i="28"/>
  <c r="O196" i="28"/>
  <c r="M196" i="28"/>
  <c r="W195" i="28"/>
  <c r="U195" i="28"/>
  <c r="S195" i="28"/>
  <c r="Q195" i="28"/>
  <c r="O195" i="28"/>
  <c r="M195" i="28"/>
  <c r="W194" i="28"/>
  <c r="U194" i="28"/>
  <c r="S194" i="28"/>
  <c r="Q194" i="28"/>
  <c r="O194" i="28"/>
  <c r="M194" i="28"/>
  <c r="W193" i="28"/>
  <c r="U193" i="28"/>
  <c r="S193" i="28"/>
  <c r="Q193" i="28"/>
  <c r="O193" i="28"/>
  <c r="M193" i="28"/>
  <c r="W192" i="28"/>
  <c r="U192" i="28"/>
  <c r="S192" i="28"/>
  <c r="Q192" i="28"/>
  <c r="O192" i="28"/>
  <c r="M192" i="28"/>
  <c r="W191" i="28"/>
  <c r="U191" i="28"/>
  <c r="S191" i="28"/>
  <c r="Q191" i="28"/>
  <c r="O191" i="28"/>
  <c r="M191" i="28"/>
  <c r="W190" i="28"/>
  <c r="U190" i="28"/>
  <c r="S190" i="28"/>
  <c r="Q190" i="28"/>
  <c r="O190" i="28"/>
  <c r="M190" i="28"/>
  <c r="W189" i="28"/>
  <c r="U189" i="28"/>
  <c r="S189" i="28"/>
  <c r="Q189" i="28"/>
  <c r="O189" i="28"/>
  <c r="M189" i="28"/>
  <c r="W188" i="28"/>
  <c r="U188" i="28"/>
  <c r="S188" i="28"/>
  <c r="Q188" i="28"/>
  <c r="O188" i="28"/>
  <c r="M188" i="28"/>
  <c r="W186" i="28"/>
  <c r="U186" i="28"/>
  <c r="S186" i="28"/>
  <c r="Q186" i="28"/>
  <c r="O186" i="28"/>
  <c r="M186" i="28"/>
  <c r="W185" i="28"/>
  <c r="U185" i="28"/>
  <c r="S185" i="28"/>
  <c r="Q185" i="28"/>
  <c r="O185" i="28"/>
  <c r="M185" i="28"/>
  <c r="W184" i="28"/>
  <c r="U184" i="28"/>
  <c r="S184" i="28"/>
  <c r="Q184" i="28"/>
  <c r="O184" i="28"/>
  <c r="M184" i="28"/>
  <c r="W183" i="28"/>
  <c r="U183" i="28"/>
  <c r="S183" i="28"/>
  <c r="Q183" i="28"/>
  <c r="O183" i="28"/>
  <c r="M183" i="28"/>
  <c r="W182" i="28"/>
  <c r="U182" i="28"/>
  <c r="S182" i="28"/>
  <c r="Q182" i="28"/>
  <c r="O182" i="28"/>
  <c r="M182" i="28"/>
  <c r="W181" i="28"/>
  <c r="U181" i="28"/>
  <c r="S181" i="28"/>
  <c r="Q181" i="28"/>
  <c r="O181" i="28"/>
  <c r="M181" i="28"/>
  <c r="W180" i="28"/>
  <c r="U180" i="28"/>
  <c r="S180" i="28"/>
  <c r="Q180" i="28"/>
  <c r="O180" i="28"/>
  <c r="M180" i="28"/>
  <c r="W179" i="28"/>
  <c r="U179" i="28"/>
  <c r="S179" i="28"/>
  <c r="Q179" i="28"/>
  <c r="O179" i="28"/>
  <c r="M179" i="28"/>
  <c r="W178" i="28"/>
  <c r="U178" i="28"/>
  <c r="S178" i="28"/>
  <c r="Q178" i="28"/>
  <c r="O178" i="28"/>
  <c r="M178" i="28"/>
  <c r="W176" i="28"/>
  <c r="U176" i="28"/>
  <c r="S176" i="28"/>
  <c r="Q176" i="28"/>
  <c r="O176" i="28"/>
  <c r="M176" i="28"/>
  <c r="W175" i="28"/>
  <c r="U175" i="28"/>
  <c r="S175" i="28"/>
  <c r="Q175" i="28"/>
  <c r="O175" i="28"/>
  <c r="M175" i="28"/>
  <c r="W174" i="28"/>
  <c r="U174" i="28"/>
  <c r="S174" i="28"/>
  <c r="Q174" i="28"/>
  <c r="O174" i="28"/>
  <c r="M174" i="28"/>
  <c r="W173" i="28"/>
  <c r="U173" i="28"/>
  <c r="S173" i="28"/>
  <c r="Q173" i="28"/>
  <c r="O173" i="28"/>
  <c r="M173" i="28"/>
  <c r="W172" i="28"/>
  <c r="U172" i="28"/>
  <c r="S172" i="28"/>
  <c r="Q172" i="28"/>
  <c r="O172" i="28"/>
  <c r="M172" i="28"/>
  <c r="W171" i="28"/>
  <c r="U171" i="28"/>
  <c r="S171" i="28"/>
  <c r="Q171" i="28"/>
  <c r="O171" i="28"/>
  <c r="M171" i="28"/>
  <c r="W170" i="28"/>
  <c r="U170" i="28"/>
  <c r="S170" i="28"/>
  <c r="Q170" i="28"/>
  <c r="O170" i="28"/>
  <c r="M170" i="28"/>
  <c r="W169" i="28"/>
  <c r="U169" i="28"/>
  <c r="S169" i="28"/>
  <c r="Q169" i="28"/>
  <c r="O169" i="28"/>
  <c r="M169" i="28"/>
  <c r="W168" i="28"/>
  <c r="U168" i="28"/>
  <c r="S168" i="28"/>
  <c r="Q168" i="28"/>
  <c r="O168" i="28"/>
  <c r="M168" i="28"/>
  <c r="W166" i="28"/>
  <c r="U166" i="28"/>
  <c r="S166" i="28"/>
  <c r="Q166" i="28"/>
  <c r="O166" i="28"/>
  <c r="M166" i="28"/>
  <c r="W165" i="28"/>
  <c r="U165" i="28"/>
  <c r="S165" i="28"/>
  <c r="Q165" i="28"/>
  <c r="O165" i="28"/>
  <c r="M165" i="28"/>
  <c r="W164" i="28"/>
  <c r="U164" i="28"/>
  <c r="S164" i="28"/>
  <c r="Q164" i="28"/>
  <c r="O164" i="28"/>
  <c r="M164" i="28"/>
  <c r="W163" i="28"/>
  <c r="U163" i="28"/>
  <c r="S163" i="28"/>
  <c r="Q163" i="28"/>
  <c r="O163" i="28"/>
  <c r="M163" i="28"/>
  <c r="W162" i="28"/>
  <c r="U162" i="28"/>
  <c r="S162" i="28"/>
  <c r="Q162" i="28"/>
  <c r="O162" i="28"/>
  <c r="M162" i="28"/>
  <c r="W161" i="28"/>
  <c r="U161" i="28"/>
  <c r="S161" i="28"/>
  <c r="Q161" i="28"/>
  <c r="O161" i="28"/>
  <c r="M161" i="28"/>
  <c r="W160" i="28"/>
  <c r="U160" i="28"/>
  <c r="S160" i="28"/>
  <c r="Q160" i="28"/>
  <c r="O160" i="28"/>
  <c r="M160" i="28"/>
  <c r="W159" i="28"/>
  <c r="U159" i="28"/>
  <c r="S159" i="28"/>
  <c r="Q159" i="28"/>
  <c r="O159" i="28"/>
  <c r="M159" i="28"/>
  <c r="W158" i="28"/>
  <c r="U158" i="28"/>
  <c r="S158" i="28"/>
  <c r="Q158" i="28"/>
  <c r="O158" i="28"/>
  <c r="M158" i="28"/>
  <c r="W156" i="28"/>
  <c r="U156" i="28"/>
  <c r="S156" i="28"/>
  <c r="Q156" i="28"/>
  <c r="O156" i="28"/>
  <c r="M156" i="28"/>
  <c r="K156" i="28"/>
  <c r="W155" i="28"/>
  <c r="U155" i="28"/>
  <c r="S155" i="28"/>
  <c r="Q155" i="28"/>
  <c r="O155" i="28"/>
  <c r="M155" i="28"/>
  <c r="K155" i="28"/>
  <c r="W154" i="28"/>
  <c r="U154" i="28"/>
  <c r="S154" i="28"/>
  <c r="Q154" i="28"/>
  <c r="O154" i="28"/>
  <c r="M154" i="28"/>
  <c r="K154" i="28"/>
  <c r="W153" i="28"/>
  <c r="U153" i="28"/>
  <c r="S153" i="28"/>
  <c r="Q153" i="28"/>
  <c r="O153" i="28"/>
  <c r="M153" i="28"/>
  <c r="K153" i="28"/>
  <c r="W152" i="28"/>
  <c r="U152" i="28"/>
  <c r="S152" i="28"/>
  <c r="Q152" i="28"/>
  <c r="O152" i="28"/>
  <c r="M152" i="28"/>
  <c r="K152" i="28"/>
  <c r="W151" i="28"/>
  <c r="U151" i="28"/>
  <c r="S151" i="28"/>
  <c r="Q151" i="28"/>
  <c r="O151" i="28"/>
  <c r="M151" i="28"/>
  <c r="K151" i="28"/>
  <c r="W150" i="28"/>
  <c r="U150" i="28"/>
  <c r="S150" i="28"/>
  <c r="Q150" i="28"/>
  <c r="O150" i="28"/>
  <c r="M150" i="28"/>
  <c r="K150" i="28"/>
  <c r="W149" i="28"/>
  <c r="U149" i="28"/>
  <c r="S149" i="28"/>
  <c r="Q149" i="28"/>
  <c r="O149" i="28"/>
  <c r="M149" i="28"/>
  <c r="K149" i="28"/>
  <c r="W148" i="28"/>
  <c r="U148" i="28"/>
  <c r="S148" i="28"/>
  <c r="Q148" i="28"/>
  <c r="O148" i="28"/>
  <c r="M148" i="28"/>
  <c r="K148" i="28"/>
  <c r="W146" i="28"/>
  <c r="U146" i="28"/>
  <c r="S146" i="28"/>
  <c r="Q146" i="28"/>
  <c r="O146" i="28"/>
  <c r="M146" i="28"/>
  <c r="K146" i="28"/>
  <c r="W145" i="28"/>
  <c r="U145" i="28"/>
  <c r="S145" i="28"/>
  <c r="Q145" i="28"/>
  <c r="O145" i="28"/>
  <c r="M145" i="28"/>
  <c r="K145" i="28"/>
  <c r="W144" i="28"/>
  <c r="U144" i="28"/>
  <c r="S144" i="28"/>
  <c r="Q144" i="28"/>
  <c r="O144" i="28"/>
  <c r="M144" i="28"/>
  <c r="K144" i="28"/>
  <c r="W143" i="28"/>
  <c r="U143" i="28"/>
  <c r="S143" i="28"/>
  <c r="Q143" i="28"/>
  <c r="O143" i="28"/>
  <c r="M143" i="28"/>
  <c r="K143" i="28"/>
  <c r="W142" i="28"/>
  <c r="U142" i="28"/>
  <c r="S142" i="28"/>
  <c r="Q142" i="28"/>
  <c r="O142" i="28"/>
  <c r="M142" i="28"/>
  <c r="K142" i="28"/>
  <c r="W141" i="28"/>
  <c r="U141" i="28"/>
  <c r="S141" i="28"/>
  <c r="Q141" i="28"/>
  <c r="O141" i="28"/>
  <c r="M141" i="28"/>
  <c r="K141" i="28"/>
  <c r="W140" i="28"/>
  <c r="U140" i="28"/>
  <c r="S140" i="28"/>
  <c r="Q140" i="28"/>
  <c r="O140" i="28"/>
  <c r="M140" i="28"/>
  <c r="K140" i="28"/>
  <c r="W139" i="28"/>
  <c r="U139" i="28"/>
  <c r="S139" i="28"/>
  <c r="Q139" i="28"/>
  <c r="O139" i="28"/>
  <c r="M139" i="28"/>
  <c r="K139" i="28"/>
  <c r="W138" i="28"/>
  <c r="U138" i="28"/>
  <c r="S138" i="28"/>
  <c r="Q138" i="28"/>
  <c r="O138" i="28"/>
  <c r="M138" i="28"/>
  <c r="K138" i="28"/>
  <c r="W136" i="28"/>
  <c r="U136" i="28"/>
  <c r="S136" i="28"/>
  <c r="Q136" i="28"/>
  <c r="O136" i="28"/>
  <c r="M136" i="28"/>
  <c r="K136" i="28"/>
  <c r="W135" i="28"/>
  <c r="U135" i="28"/>
  <c r="S135" i="28"/>
  <c r="Q135" i="28"/>
  <c r="O135" i="28"/>
  <c r="M135" i="28"/>
  <c r="K135" i="28"/>
  <c r="W134" i="28"/>
  <c r="U134" i="28"/>
  <c r="S134" i="28"/>
  <c r="Q134" i="28"/>
  <c r="O134" i="28"/>
  <c r="M134" i="28"/>
  <c r="K134" i="28"/>
  <c r="W133" i="28"/>
  <c r="U133" i="28"/>
  <c r="S133" i="28"/>
  <c r="Q133" i="28"/>
  <c r="O133" i="28"/>
  <c r="M133" i="28"/>
  <c r="K133" i="28"/>
  <c r="W132" i="28"/>
  <c r="U132" i="28"/>
  <c r="S132" i="28"/>
  <c r="Q132" i="28"/>
  <c r="O132" i="28"/>
  <c r="M132" i="28"/>
  <c r="K132" i="28"/>
  <c r="W131" i="28"/>
  <c r="U131" i="28"/>
  <c r="S131" i="28"/>
  <c r="Q131" i="28"/>
  <c r="O131" i="28"/>
  <c r="M131" i="28"/>
  <c r="K131" i="28"/>
  <c r="W130" i="28"/>
  <c r="U130" i="28"/>
  <c r="S130" i="28"/>
  <c r="Q130" i="28"/>
  <c r="O130" i="28"/>
  <c r="M130" i="28"/>
  <c r="K130" i="28"/>
  <c r="W129" i="28"/>
  <c r="U129" i="28"/>
  <c r="S129" i="28"/>
  <c r="Q129" i="28"/>
  <c r="O129" i="28"/>
  <c r="M129" i="28"/>
  <c r="K129" i="28"/>
  <c r="W128" i="28"/>
  <c r="U128" i="28"/>
  <c r="S128" i="28"/>
  <c r="Q128" i="28"/>
  <c r="O128" i="28"/>
  <c r="M128" i="28"/>
  <c r="K128" i="28"/>
  <c r="W126" i="28"/>
  <c r="U126" i="28"/>
  <c r="S126" i="28"/>
  <c r="Q126" i="28"/>
  <c r="O126" i="28"/>
  <c r="M126" i="28"/>
  <c r="K126" i="28"/>
  <c r="W125" i="28"/>
  <c r="U125" i="28"/>
  <c r="S125" i="28"/>
  <c r="Q125" i="28"/>
  <c r="O125" i="28"/>
  <c r="M125" i="28"/>
  <c r="K125" i="28"/>
  <c r="W124" i="28"/>
  <c r="U124" i="28"/>
  <c r="S124" i="28"/>
  <c r="Q124" i="28"/>
  <c r="O124" i="28"/>
  <c r="M124" i="28"/>
  <c r="K124" i="28"/>
  <c r="W123" i="28"/>
  <c r="U123" i="28"/>
  <c r="S123" i="28"/>
  <c r="Q123" i="28"/>
  <c r="O123" i="28"/>
  <c r="M123" i="28"/>
  <c r="K123" i="28"/>
  <c r="W122" i="28"/>
  <c r="U122" i="28"/>
  <c r="S122" i="28"/>
  <c r="Q122" i="28"/>
  <c r="O122" i="28"/>
  <c r="M122" i="28"/>
  <c r="K122" i="28"/>
  <c r="W121" i="28"/>
  <c r="U121" i="28"/>
  <c r="S121" i="28"/>
  <c r="Q121" i="28"/>
  <c r="O121" i="28"/>
  <c r="M121" i="28"/>
  <c r="K121" i="28"/>
  <c r="W120" i="28"/>
  <c r="U120" i="28"/>
  <c r="S120" i="28"/>
  <c r="Q120" i="28"/>
  <c r="O120" i="28"/>
  <c r="M120" i="28"/>
  <c r="K120" i="28"/>
  <c r="W119" i="28"/>
  <c r="U119" i="28"/>
  <c r="S119" i="28"/>
  <c r="Q119" i="28"/>
  <c r="O119" i="28"/>
  <c r="M119" i="28"/>
  <c r="K119" i="28"/>
  <c r="W118" i="28"/>
  <c r="U118" i="28"/>
  <c r="S118" i="28"/>
  <c r="Q118" i="28"/>
  <c r="O118" i="28"/>
  <c r="M118" i="28"/>
  <c r="K118" i="28"/>
  <c r="W116" i="28"/>
  <c r="U116" i="28"/>
  <c r="S116" i="28"/>
  <c r="Q116" i="28"/>
  <c r="O116" i="28"/>
  <c r="M116" i="28"/>
  <c r="K116" i="28"/>
  <c r="I116" i="28"/>
  <c r="G116" i="28"/>
  <c r="E116" i="28"/>
  <c r="C116" i="28"/>
  <c r="W115" i="28"/>
  <c r="U115" i="28"/>
  <c r="S115" i="28"/>
  <c r="Q115" i="28"/>
  <c r="O115" i="28"/>
  <c r="M115" i="28"/>
  <c r="K115" i="28"/>
  <c r="I115" i="28"/>
  <c r="G115" i="28"/>
  <c r="E115" i="28"/>
  <c r="C115" i="28"/>
  <c r="W114" i="28"/>
  <c r="U114" i="28"/>
  <c r="S114" i="28"/>
  <c r="Q114" i="28"/>
  <c r="O114" i="28"/>
  <c r="M114" i="28"/>
  <c r="K114" i="28"/>
  <c r="I114" i="28"/>
  <c r="G114" i="28"/>
  <c r="E114" i="28"/>
  <c r="C114" i="28"/>
  <c r="W113" i="28"/>
  <c r="U113" i="28"/>
  <c r="S113" i="28"/>
  <c r="Q113" i="28"/>
  <c r="O113" i="28"/>
  <c r="M113" i="28"/>
  <c r="K113" i="28"/>
  <c r="I113" i="28"/>
  <c r="G113" i="28"/>
  <c r="E113" i="28"/>
  <c r="C113" i="28"/>
  <c r="W112" i="28"/>
  <c r="U112" i="28"/>
  <c r="S112" i="28"/>
  <c r="Q112" i="28"/>
  <c r="O112" i="28"/>
  <c r="M112" i="28"/>
  <c r="K112" i="28"/>
  <c r="I112" i="28"/>
  <c r="G112" i="28"/>
  <c r="E112" i="28"/>
  <c r="C112" i="28"/>
  <c r="W111" i="28"/>
  <c r="U111" i="28"/>
  <c r="S111" i="28"/>
  <c r="Q111" i="28"/>
  <c r="O111" i="28"/>
  <c r="M111" i="28"/>
  <c r="K111" i="28"/>
  <c r="I111" i="28"/>
  <c r="G111" i="28"/>
  <c r="E111" i="28"/>
  <c r="C111" i="28"/>
  <c r="W110" i="28"/>
  <c r="U110" i="28"/>
  <c r="S110" i="28"/>
  <c r="Q110" i="28"/>
  <c r="O110" i="28"/>
  <c r="M110" i="28"/>
  <c r="K110" i="28"/>
  <c r="I110" i="28"/>
  <c r="G110" i="28"/>
  <c r="E110" i="28"/>
  <c r="C110" i="28"/>
  <c r="W109" i="28"/>
  <c r="U109" i="28"/>
  <c r="S109" i="28"/>
  <c r="Q109" i="28"/>
  <c r="O109" i="28"/>
  <c r="M109" i="28"/>
  <c r="K109" i="28"/>
  <c r="I109" i="28"/>
  <c r="G109" i="28"/>
  <c r="E109" i="28"/>
  <c r="C109" i="28"/>
  <c r="W108" i="28"/>
  <c r="U108" i="28"/>
  <c r="S108" i="28"/>
  <c r="Q108" i="28"/>
  <c r="O108" i="28"/>
  <c r="M108" i="28"/>
  <c r="K108" i="28"/>
  <c r="I108" i="28"/>
  <c r="G108" i="28"/>
  <c r="E108" i="28"/>
  <c r="C108" i="28"/>
  <c r="W106" i="28"/>
  <c r="U106" i="28"/>
  <c r="S106" i="28"/>
  <c r="Q106" i="28"/>
  <c r="O106" i="28"/>
  <c r="M106" i="28"/>
  <c r="K106" i="28"/>
  <c r="I106" i="28"/>
  <c r="G106" i="28"/>
  <c r="E106" i="28"/>
  <c r="C106" i="28"/>
  <c r="W105" i="28"/>
  <c r="U105" i="28"/>
  <c r="S105" i="28"/>
  <c r="Q105" i="28"/>
  <c r="O105" i="28"/>
  <c r="M105" i="28"/>
  <c r="K105" i="28"/>
  <c r="I105" i="28"/>
  <c r="G105" i="28"/>
  <c r="E105" i="28"/>
  <c r="C105" i="28"/>
  <c r="W104" i="28"/>
  <c r="U104" i="28"/>
  <c r="S104" i="28"/>
  <c r="Q104" i="28"/>
  <c r="O104" i="28"/>
  <c r="M104" i="28"/>
  <c r="K104" i="28"/>
  <c r="I104" i="28"/>
  <c r="G104" i="28"/>
  <c r="E104" i="28"/>
  <c r="C104" i="28"/>
  <c r="W103" i="28"/>
  <c r="U103" i="28"/>
  <c r="S103" i="28"/>
  <c r="Q103" i="28"/>
  <c r="O103" i="28"/>
  <c r="M103" i="28"/>
  <c r="K103" i="28"/>
  <c r="I103" i="28"/>
  <c r="G103" i="28"/>
  <c r="E103" i="28"/>
  <c r="C103" i="28"/>
  <c r="W102" i="28"/>
  <c r="U102" i="28"/>
  <c r="S102" i="28"/>
  <c r="Q102" i="28"/>
  <c r="O102" i="28"/>
  <c r="M102" i="28"/>
  <c r="K102" i="28"/>
  <c r="I102" i="28"/>
  <c r="G102" i="28"/>
  <c r="E102" i="28"/>
  <c r="C102" i="28"/>
  <c r="W101" i="28"/>
  <c r="U101" i="28"/>
  <c r="S101" i="28"/>
  <c r="Q101" i="28"/>
  <c r="O101" i="28"/>
  <c r="M101" i="28"/>
  <c r="K101" i="28"/>
  <c r="I101" i="28"/>
  <c r="G101" i="28"/>
  <c r="E101" i="28"/>
  <c r="C101" i="28"/>
  <c r="W100" i="28"/>
  <c r="U100" i="28"/>
  <c r="S100" i="28"/>
  <c r="Q100" i="28"/>
  <c r="O100" i="28"/>
  <c r="M100" i="28"/>
  <c r="K100" i="28"/>
  <c r="I100" i="28"/>
  <c r="G100" i="28"/>
  <c r="E100" i="28"/>
  <c r="C100" i="28"/>
  <c r="W99" i="28"/>
  <c r="U99" i="28"/>
  <c r="S99" i="28"/>
  <c r="Q99" i="28"/>
  <c r="O99" i="28"/>
  <c r="M99" i="28"/>
  <c r="K99" i="28"/>
  <c r="I99" i="28"/>
  <c r="G99" i="28"/>
  <c r="E99" i="28"/>
  <c r="C99" i="28"/>
  <c r="W98" i="28"/>
  <c r="U98" i="28"/>
  <c r="S98" i="28"/>
  <c r="Q98" i="28"/>
  <c r="O98" i="28"/>
  <c r="M98" i="28"/>
  <c r="K98" i="28"/>
  <c r="I98" i="28"/>
  <c r="G98" i="28"/>
  <c r="E98" i="28"/>
  <c r="C98" i="28"/>
  <c r="W96" i="28"/>
  <c r="U96" i="28"/>
  <c r="S96" i="28"/>
  <c r="Q96" i="28"/>
  <c r="O96" i="28"/>
  <c r="M96" i="28"/>
  <c r="K96" i="28"/>
  <c r="I96" i="28"/>
  <c r="G96" i="28"/>
  <c r="E96" i="28"/>
  <c r="C96" i="28"/>
  <c r="W95" i="28"/>
  <c r="U95" i="28"/>
  <c r="S95" i="28"/>
  <c r="Q95" i="28"/>
  <c r="O95" i="28"/>
  <c r="M95" i="28"/>
  <c r="K95" i="28"/>
  <c r="I95" i="28"/>
  <c r="G95" i="28"/>
  <c r="E95" i="28"/>
  <c r="C95" i="28"/>
  <c r="W94" i="28"/>
  <c r="U94" i="28"/>
  <c r="S94" i="28"/>
  <c r="Q94" i="28"/>
  <c r="O94" i="28"/>
  <c r="M94" i="28"/>
  <c r="K94" i="28"/>
  <c r="I94" i="28"/>
  <c r="G94" i="28"/>
  <c r="E94" i="28"/>
  <c r="C94" i="28"/>
  <c r="W93" i="28"/>
  <c r="U93" i="28"/>
  <c r="S93" i="28"/>
  <c r="Q93" i="28"/>
  <c r="O93" i="28"/>
  <c r="M93" i="28"/>
  <c r="K93" i="28"/>
  <c r="I93" i="28"/>
  <c r="G93" i="28"/>
  <c r="E93" i="28"/>
  <c r="C93" i="28"/>
  <c r="W92" i="28"/>
  <c r="U92" i="28"/>
  <c r="S92" i="28"/>
  <c r="Q92" i="28"/>
  <c r="O92" i="28"/>
  <c r="M92" i="28"/>
  <c r="K92" i="28"/>
  <c r="I92" i="28"/>
  <c r="G92" i="28"/>
  <c r="E92" i="28"/>
  <c r="C92" i="28"/>
  <c r="W91" i="28"/>
  <c r="U91" i="28"/>
  <c r="S91" i="28"/>
  <c r="Q91" i="28"/>
  <c r="O91" i="28"/>
  <c r="M91" i="28"/>
  <c r="K91" i="28"/>
  <c r="I91" i="28"/>
  <c r="G91" i="28"/>
  <c r="E91" i="28"/>
  <c r="C91" i="28"/>
  <c r="W90" i="28"/>
  <c r="U90" i="28"/>
  <c r="S90" i="28"/>
  <c r="Q90" i="28"/>
  <c r="O90" i="28"/>
  <c r="M90" i="28"/>
  <c r="K90" i="28"/>
  <c r="I90" i="28"/>
  <c r="G90" i="28"/>
  <c r="E90" i="28"/>
  <c r="C90" i="28"/>
  <c r="W89" i="28"/>
  <c r="U89" i="28"/>
  <c r="S89" i="28"/>
  <c r="Q89" i="28"/>
  <c r="O89" i="28"/>
  <c r="M89" i="28"/>
  <c r="K89" i="28"/>
  <c r="I89" i="28"/>
  <c r="G89" i="28"/>
  <c r="E89" i="28"/>
  <c r="C89" i="28"/>
  <c r="W88" i="28"/>
  <c r="U88" i="28"/>
  <c r="S88" i="28"/>
  <c r="Q88" i="28"/>
  <c r="O88" i="28"/>
  <c r="M88" i="28"/>
  <c r="K88" i="28"/>
  <c r="I88" i="28"/>
  <c r="G88" i="28"/>
  <c r="E88" i="28"/>
  <c r="C88" i="28"/>
  <c r="W86" i="28"/>
  <c r="U86" i="28"/>
  <c r="S86" i="28"/>
  <c r="Q86" i="28"/>
  <c r="O86" i="28"/>
  <c r="M86" i="28"/>
  <c r="K86" i="28"/>
  <c r="I86" i="28"/>
  <c r="G86" i="28"/>
  <c r="E86" i="28"/>
  <c r="C86" i="28"/>
  <c r="W85" i="28"/>
  <c r="U85" i="28"/>
  <c r="S85" i="28"/>
  <c r="Q85" i="28"/>
  <c r="O85" i="28"/>
  <c r="M85" i="28"/>
  <c r="K85" i="28"/>
  <c r="I85" i="28"/>
  <c r="G85" i="28"/>
  <c r="E85" i="28"/>
  <c r="C85" i="28"/>
  <c r="W84" i="28"/>
  <c r="U84" i="28"/>
  <c r="S84" i="28"/>
  <c r="Q84" i="28"/>
  <c r="O84" i="28"/>
  <c r="M84" i="28"/>
  <c r="K84" i="28"/>
  <c r="I84" i="28"/>
  <c r="G84" i="28"/>
  <c r="E84" i="28"/>
  <c r="C84" i="28"/>
  <c r="W83" i="28"/>
  <c r="U83" i="28"/>
  <c r="S83" i="28"/>
  <c r="Q83" i="28"/>
  <c r="O83" i="28"/>
  <c r="M83" i="28"/>
  <c r="K83" i="28"/>
  <c r="I83" i="28"/>
  <c r="G83" i="28"/>
  <c r="E83" i="28"/>
  <c r="C83" i="28"/>
  <c r="W82" i="28"/>
  <c r="U82" i="28"/>
  <c r="S82" i="28"/>
  <c r="Q82" i="28"/>
  <c r="O82" i="28"/>
  <c r="M82" i="28"/>
  <c r="K82" i="28"/>
  <c r="I82" i="28"/>
  <c r="G82" i="28"/>
  <c r="E82" i="28"/>
  <c r="C82" i="28"/>
  <c r="W81" i="28"/>
  <c r="U81" i="28"/>
  <c r="S81" i="28"/>
  <c r="Q81" i="28"/>
  <c r="O81" i="28"/>
  <c r="M81" i="28"/>
  <c r="K81" i="28"/>
  <c r="I81" i="28"/>
  <c r="G81" i="28"/>
  <c r="E81" i="28"/>
  <c r="C81" i="28"/>
  <c r="W80" i="28"/>
  <c r="U80" i="28"/>
  <c r="S80" i="28"/>
  <c r="Q80" i="28"/>
  <c r="O80" i="28"/>
  <c r="M80" i="28"/>
  <c r="K80" i="28"/>
  <c r="I80" i="28"/>
  <c r="G80" i="28"/>
  <c r="E80" i="28"/>
  <c r="C80" i="28"/>
  <c r="W79" i="28"/>
  <c r="U79" i="28"/>
  <c r="S79" i="28"/>
  <c r="Q79" i="28"/>
  <c r="O79" i="28"/>
  <c r="M79" i="28"/>
  <c r="K79" i="28"/>
  <c r="I79" i="28"/>
  <c r="G79" i="28"/>
  <c r="E79" i="28"/>
  <c r="C79" i="28"/>
  <c r="W78" i="28"/>
  <c r="U78" i="28"/>
  <c r="S78" i="28"/>
  <c r="Q78" i="28"/>
  <c r="O78" i="28"/>
  <c r="M78" i="28"/>
  <c r="K78" i="28"/>
  <c r="I78" i="28"/>
  <c r="G78" i="28"/>
  <c r="E78" i="28"/>
  <c r="C78" i="28"/>
  <c r="W76" i="28"/>
  <c r="U76" i="28"/>
  <c r="S76" i="28"/>
  <c r="Q76" i="28"/>
  <c r="O76" i="28"/>
  <c r="M76" i="28"/>
  <c r="K76" i="28"/>
  <c r="I76" i="28"/>
  <c r="G76" i="28"/>
  <c r="E76" i="28"/>
  <c r="C76" i="28"/>
  <c r="W75" i="28"/>
  <c r="U75" i="28"/>
  <c r="S75" i="28"/>
  <c r="Q75" i="28"/>
  <c r="O75" i="28"/>
  <c r="M75" i="28"/>
  <c r="K75" i="28"/>
  <c r="I75" i="28"/>
  <c r="G75" i="28"/>
  <c r="E75" i="28"/>
  <c r="C75" i="28"/>
  <c r="W74" i="28"/>
  <c r="U74" i="28"/>
  <c r="S74" i="28"/>
  <c r="Q74" i="28"/>
  <c r="O74" i="28"/>
  <c r="M74" i="28"/>
  <c r="K74" i="28"/>
  <c r="I74" i="28"/>
  <c r="G74" i="28"/>
  <c r="E74" i="28"/>
  <c r="C74" i="28"/>
  <c r="W73" i="28"/>
  <c r="U73" i="28"/>
  <c r="S73" i="28"/>
  <c r="Q73" i="28"/>
  <c r="O73" i="28"/>
  <c r="M73" i="28"/>
  <c r="K73" i="28"/>
  <c r="I73" i="28"/>
  <c r="G73" i="28"/>
  <c r="E73" i="28"/>
  <c r="C73" i="28"/>
  <c r="W72" i="28"/>
  <c r="U72" i="28"/>
  <c r="S72" i="28"/>
  <c r="Q72" i="28"/>
  <c r="O72" i="28"/>
  <c r="M72" i="28"/>
  <c r="K72" i="28"/>
  <c r="I72" i="28"/>
  <c r="G72" i="28"/>
  <c r="E72" i="28"/>
  <c r="C72" i="28"/>
  <c r="W71" i="28"/>
  <c r="U71" i="28"/>
  <c r="S71" i="28"/>
  <c r="Q71" i="28"/>
  <c r="O71" i="28"/>
  <c r="M71" i="28"/>
  <c r="K71" i="28"/>
  <c r="I71" i="28"/>
  <c r="G71" i="28"/>
  <c r="E71" i="28"/>
  <c r="C71" i="28"/>
  <c r="W70" i="28"/>
  <c r="U70" i="28"/>
  <c r="S70" i="28"/>
  <c r="Q70" i="28"/>
  <c r="O70" i="28"/>
  <c r="M70" i="28"/>
  <c r="K70" i="28"/>
  <c r="I70" i="28"/>
  <c r="G70" i="28"/>
  <c r="E70" i="28"/>
  <c r="C70" i="28"/>
  <c r="W69" i="28"/>
  <c r="U69" i="28"/>
  <c r="S69" i="28"/>
  <c r="Q69" i="28"/>
  <c r="O69" i="28"/>
  <c r="M69" i="28"/>
  <c r="K69" i="28"/>
  <c r="I69" i="28"/>
  <c r="G69" i="28"/>
  <c r="E69" i="28"/>
  <c r="C69" i="28"/>
  <c r="W68" i="28"/>
  <c r="U68" i="28"/>
  <c r="S68" i="28"/>
  <c r="Q68" i="28"/>
  <c r="O68" i="28"/>
  <c r="M68" i="28"/>
  <c r="K68" i="28"/>
  <c r="I68" i="28"/>
  <c r="G68" i="28"/>
  <c r="E68" i="28"/>
  <c r="C68" i="28"/>
  <c r="W66" i="28"/>
  <c r="U66" i="28"/>
  <c r="S66" i="28"/>
  <c r="Q66" i="28"/>
  <c r="O66" i="28"/>
  <c r="M66" i="28"/>
  <c r="K66" i="28"/>
  <c r="I66" i="28"/>
  <c r="G66" i="28"/>
  <c r="E66" i="28"/>
  <c r="C66" i="28"/>
  <c r="W65" i="28"/>
  <c r="U65" i="28"/>
  <c r="S65" i="28"/>
  <c r="Q65" i="28"/>
  <c r="O65" i="28"/>
  <c r="M65" i="28"/>
  <c r="K65" i="28"/>
  <c r="I65" i="28"/>
  <c r="G65" i="28"/>
  <c r="E65" i="28"/>
  <c r="C65" i="28"/>
  <c r="W64" i="28"/>
  <c r="U64" i="28"/>
  <c r="S64" i="28"/>
  <c r="Q64" i="28"/>
  <c r="O64" i="28"/>
  <c r="M64" i="28"/>
  <c r="K64" i="28"/>
  <c r="I64" i="28"/>
  <c r="G64" i="28"/>
  <c r="E64" i="28"/>
  <c r="C64" i="28"/>
  <c r="W63" i="28"/>
  <c r="U63" i="28"/>
  <c r="S63" i="28"/>
  <c r="Q63" i="28"/>
  <c r="O63" i="28"/>
  <c r="M63" i="28"/>
  <c r="K63" i="28"/>
  <c r="I63" i="28"/>
  <c r="G63" i="28"/>
  <c r="E63" i="28"/>
  <c r="C63" i="28"/>
  <c r="W62" i="28"/>
  <c r="U62" i="28"/>
  <c r="S62" i="28"/>
  <c r="Q62" i="28"/>
  <c r="O62" i="28"/>
  <c r="M62" i="28"/>
  <c r="K62" i="28"/>
  <c r="I62" i="28"/>
  <c r="G62" i="28"/>
  <c r="E62" i="28"/>
  <c r="C62" i="28"/>
  <c r="W61" i="28"/>
  <c r="U61" i="28"/>
  <c r="S61" i="28"/>
  <c r="Q61" i="28"/>
  <c r="O61" i="28"/>
  <c r="M61" i="28"/>
  <c r="K61" i="28"/>
  <c r="I61" i="28"/>
  <c r="G61" i="28"/>
  <c r="E61" i="28"/>
  <c r="C61" i="28"/>
  <c r="W60" i="28"/>
  <c r="U60" i="28"/>
  <c r="S60" i="28"/>
  <c r="Q60" i="28"/>
  <c r="O60" i="28"/>
  <c r="M60" i="28"/>
  <c r="K60" i="28"/>
  <c r="I60" i="28"/>
  <c r="G60" i="28"/>
  <c r="E60" i="28"/>
  <c r="C60" i="28"/>
  <c r="W59" i="28"/>
  <c r="U59" i="28"/>
  <c r="S59" i="28"/>
  <c r="Q59" i="28"/>
  <c r="O59" i="28"/>
  <c r="M59" i="28"/>
  <c r="K59" i="28"/>
  <c r="I59" i="28"/>
  <c r="G59" i="28"/>
  <c r="E59" i="28"/>
  <c r="C59" i="28"/>
  <c r="W58" i="28"/>
  <c r="U58" i="28"/>
  <c r="S58" i="28"/>
  <c r="Q58" i="28"/>
  <c r="O58" i="28"/>
  <c r="M58" i="28"/>
  <c r="K58" i="28"/>
  <c r="I58" i="28"/>
  <c r="G58" i="28"/>
  <c r="E58" i="28"/>
  <c r="C58" i="28"/>
  <c r="W56" i="28"/>
  <c r="U56" i="28"/>
  <c r="S56" i="28"/>
  <c r="Q56" i="28"/>
  <c r="O56" i="28"/>
  <c r="M56" i="28"/>
  <c r="K56" i="28"/>
  <c r="I56" i="28"/>
  <c r="G56" i="28"/>
  <c r="E56" i="28"/>
  <c r="C56" i="28"/>
  <c r="W55" i="28"/>
  <c r="U55" i="28"/>
  <c r="S55" i="28"/>
  <c r="Q55" i="28"/>
  <c r="O55" i="28"/>
  <c r="M55" i="28"/>
  <c r="K55" i="28"/>
  <c r="I55" i="28"/>
  <c r="G55" i="28"/>
  <c r="E55" i="28"/>
  <c r="C55" i="28"/>
  <c r="W54" i="28"/>
  <c r="U54" i="28"/>
  <c r="S54" i="28"/>
  <c r="Q54" i="28"/>
  <c r="O54" i="28"/>
  <c r="M54" i="28"/>
  <c r="K54" i="28"/>
  <c r="I54" i="28"/>
  <c r="G54" i="28"/>
  <c r="E54" i="28"/>
  <c r="C54" i="28"/>
  <c r="W53" i="28"/>
  <c r="U53" i="28"/>
  <c r="S53" i="28"/>
  <c r="Q53" i="28"/>
  <c r="O53" i="28"/>
  <c r="M53" i="28"/>
  <c r="K53" i="28"/>
  <c r="I53" i="28"/>
  <c r="G53" i="28"/>
  <c r="E53" i="28"/>
  <c r="C53" i="28"/>
  <c r="W52" i="28"/>
  <c r="U52" i="28"/>
  <c r="S52" i="28"/>
  <c r="Q52" i="28"/>
  <c r="O52" i="28"/>
  <c r="M52" i="28"/>
  <c r="K52" i="28"/>
  <c r="I52" i="28"/>
  <c r="G52" i="28"/>
  <c r="E52" i="28"/>
  <c r="C52" i="28"/>
  <c r="W51" i="28"/>
  <c r="U51" i="28"/>
  <c r="S51" i="28"/>
  <c r="Q51" i="28"/>
  <c r="O51" i="28"/>
  <c r="M51" i="28"/>
  <c r="K51" i="28"/>
  <c r="I51" i="28"/>
  <c r="G51" i="28"/>
  <c r="E51" i="28"/>
  <c r="C51" i="28"/>
  <c r="W50" i="28"/>
  <c r="U50" i="28"/>
  <c r="S50" i="28"/>
  <c r="Q50" i="28"/>
  <c r="O50" i="28"/>
  <c r="M50" i="28"/>
  <c r="K50" i="28"/>
  <c r="I50" i="28"/>
  <c r="G50" i="28"/>
  <c r="E50" i="28"/>
  <c r="C50" i="28"/>
  <c r="W49" i="28"/>
  <c r="U49" i="28"/>
  <c r="S49" i="28"/>
  <c r="Q49" i="28"/>
  <c r="O49" i="28"/>
  <c r="M49" i="28"/>
  <c r="K49" i="28"/>
  <c r="I49" i="28"/>
  <c r="G49" i="28"/>
  <c r="E49" i="28"/>
  <c r="C49" i="28"/>
  <c r="W48" i="28"/>
  <c r="U48" i="28"/>
  <c r="S48" i="28"/>
  <c r="Q48" i="28"/>
  <c r="O48" i="28"/>
  <c r="M48" i="28"/>
  <c r="K48" i="28"/>
  <c r="I48" i="28"/>
  <c r="G48" i="28"/>
  <c r="E48" i="28"/>
  <c r="C48" i="28"/>
  <c r="W46" i="28"/>
  <c r="U46" i="28"/>
  <c r="S46" i="28"/>
  <c r="Q46" i="28"/>
  <c r="O46" i="28"/>
  <c r="M46" i="28"/>
  <c r="K46" i="28"/>
  <c r="I46" i="28"/>
  <c r="G46" i="28"/>
  <c r="E46" i="28"/>
  <c r="C46" i="28"/>
  <c r="W45" i="28"/>
  <c r="U45" i="28"/>
  <c r="S45" i="28"/>
  <c r="Q45" i="28"/>
  <c r="O45" i="28"/>
  <c r="M45" i="28"/>
  <c r="K45" i="28"/>
  <c r="I45" i="28"/>
  <c r="G45" i="28"/>
  <c r="E45" i="28"/>
  <c r="C45" i="28"/>
  <c r="W44" i="28"/>
  <c r="U44" i="28"/>
  <c r="S44" i="28"/>
  <c r="Q44" i="28"/>
  <c r="O44" i="28"/>
  <c r="M44" i="28"/>
  <c r="K44" i="28"/>
  <c r="I44" i="28"/>
  <c r="G44" i="28"/>
  <c r="E44" i="28"/>
  <c r="C44" i="28"/>
  <c r="W43" i="28"/>
  <c r="U43" i="28"/>
  <c r="S43" i="28"/>
  <c r="Q43" i="28"/>
  <c r="O43" i="28"/>
  <c r="M43" i="28"/>
  <c r="K43" i="28"/>
  <c r="I43" i="28"/>
  <c r="G43" i="28"/>
  <c r="E43" i="28"/>
  <c r="C43" i="28"/>
  <c r="W42" i="28"/>
  <c r="U42" i="28"/>
  <c r="S42" i="28"/>
  <c r="Q42" i="28"/>
  <c r="O42" i="28"/>
  <c r="M42" i="28"/>
  <c r="K42" i="28"/>
  <c r="I42" i="28"/>
  <c r="G42" i="28"/>
  <c r="E42" i="28"/>
  <c r="C42" i="28"/>
  <c r="W41" i="28"/>
  <c r="U41" i="28"/>
  <c r="S41" i="28"/>
  <c r="Q41" i="28"/>
  <c r="O41" i="28"/>
  <c r="M41" i="28"/>
  <c r="K41" i="28"/>
  <c r="I41" i="28"/>
  <c r="G41" i="28"/>
  <c r="E41" i="28"/>
  <c r="C41" i="28"/>
  <c r="W40" i="28"/>
  <c r="U40" i="28"/>
  <c r="S40" i="28"/>
  <c r="Q40" i="28"/>
  <c r="O40" i="28"/>
  <c r="M40" i="28"/>
  <c r="K40" i="28"/>
  <c r="I40" i="28"/>
  <c r="G40" i="28"/>
  <c r="E40" i="28"/>
  <c r="C40" i="28"/>
  <c r="W39" i="28"/>
  <c r="U39" i="28"/>
  <c r="S39" i="28"/>
  <c r="Q39" i="28"/>
  <c r="O39" i="28"/>
  <c r="M39" i="28"/>
  <c r="K39" i="28"/>
  <c r="I39" i="28"/>
  <c r="G39" i="28"/>
  <c r="E39" i="28"/>
  <c r="C39" i="28"/>
  <c r="W38" i="28"/>
  <c r="U38" i="28"/>
  <c r="S38" i="28"/>
  <c r="Q38" i="28"/>
  <c r="O38" i="28"/>
  <c r="M38" i="28"/>
  <c r="K38" i="28"/>
  <c r="I38" i="28"/>
  <c r="G38" i="28"/>
  <c r="E38" i="28"/>
  <c r="C38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C8" i="28"/>
  <c r="Q76" i="27"/>
  <c r="P76" i="27"/>
  <c r="Q75" i="27"/>
  <c r="P75" i="27"/>
  <c r="Q74" i="27"/>
  <c r="P74" i="27"/>
  <c r="Q73" i="27"/>
  <c r="P73" i="27"/>
  <c r="Q71" i="27"/>
  <c r="P71" i="27"/>
  <c r="N71" i="27"/>
  <c r="M71" i="27"/>
  <c r="K71" i="27"/>
  <c r="J71" i="27"/>
  <c r="H71" i="27"/>
  <c r="G71" i="27"/>
  <c r="E71" i="27"/>
  <c r="D71" i="27"/>
  <c r="Q70" i="27"/>
  <c r="P70" i="27"/>
  <c r="N70" i="27"/>
  <c r="M70" i="27"/>
  <c r="K70" i="27"/>
  <c r="J70" i="27"/>
  <c r="H70" i="27"/>
  <c r="G70" i="27"/>
  <c r="E70" i="27"/>
  <c r="D70" i="27"/>
  <c r="Q69" i="27"/>
  <c r="P69" i="27"/>
  <c r="N69" i="27"/>
  <c r="M69" i="27"/>
  <c r="K69" i="27"/>
  <c r="J69" i="27"/>
  <c r="H69" i="27"/>
  <c r="G69" i="27"/>
  <c r="E69" i="27"/>
  <c r="D69" i="27"/>
  <c r="Q68" i="27"/>
  <c r="P68" i="27"/>
  <c r="N68" i="27"/>
  <c r="M68" i="27"/>
  <c r="K68" i="27"/>
  <c r="J68" i="27"/>
  <c r="H68" i="27"/>
  <c r="G68" i="27"/>
  <c r="E68" i="27"/>
  <c r="D68" i="27"/>
  <c r="Q66" i="27"/>
  <c r="P66" i="27"/>
  <c r="N66" i="27"/>
  <c r="M66" i="27"/>
  <c r="K66" i="27"/>
  <c r="J66" i="27"/>
  <c r="H66" i="27"/>
  <c r="G66" i="27"/>
  <c r="E66" i="27"/>
  <c r="D66" i="27"/>
  <c r="Q65" i="27"/>
  <c r="P65" i="27"/>
  <c r="N65" i="27"/>
  <c r="M65" i="27"/>
  <c r="K65" i="27"/>
  <c r="J65" i="27"/>
  <c r="H65" i="27"/>
  <c r="G65" i="27"/>
  <c r="E65" i="27"/>
  <c r="D65" i="27"/>
  <c r="Q64" i="27"/>
  <c r="P64" i="27"/>
  <c r="N64" i="27"/>
  <c r="M64" i="27"/>
  <c r="K64" i="27"/>
  <c r="J64" i="27"/>
  <c r="H64" i="27"/>
  <c r="G64" i="27"/>
  <c r="E64" i="27"/>
  <c r="D64" i="27"/>
  <c r="Q63" i="27"/>
  <c r="P63" i="27"/>
  <c r="N63" i="27"/>
  <c r="M63" i="27"/>
  <c r="K63" i="27"/>
  <c r="J63" i="27"/>
  <c r="H63" i="27"/>
  <c r="G63" i="27"/>
  <c r="E63" i="27"/>
  <c r="D63" i="27"/>
  <c r="Q61" i="27"/>
  <c r="P61" i="27"/>
  <c r="N61" i="27"/>
  <c r="M61" i="27"/>
  <c r="K61" i="27"/>
  <c r="J61" i="27"/>
  <c r="H61" i="27"/>
  <c r="G61" i="27"/>
  <c r="E61" i="27"/>
  <c r="D61" i="27"/>
  <c r="Q60" i="27"/>
  <c r="P60" i="27"/>
  <c r="N60" i="27"/>
  <c r="M60" i="27"/>
  <c r="K60" i="27"/>
  <c r="J60" i="27"/>
  <c r="H60" i="27"/>
  <c r="G60" i="27"/>
  <c r="E60" i="27"/>
  <c r="D60" i="27"/>
  <c r="Q59" i="27"/>
  <c r="P59" i="27"/>
  <c r="N59" i="27"/>
  <c r="M59" i="27"/>
  <c r="K59" i="27"/>
  <c r="J59" i="27"/>
  <c r="H59" i="27"/>
  <c r="G59" i="27"/>
  <c r="E59" i="27"/>
  <c r="D59" i="27"/>
  <c r="Q58" i="27"/>
  <c r="P58" i="27"/>
  <c r="N58" i="27"/>
  <c r="M58" i="27"/>
  <c r="K58" i="27"/>
  <c r="J58" i="27"/>
  <c r="H58" i="27"/>
  <c r="G58" i="27"/>
  <c r="E58" i="27"/>
  <c r="D58" i="27"/>
  <c r="Q56" i="27"/>
  <c r="P56" i="27"/>
  <c r="N56" i="27"/>
  <c r="M56" i="27"/>
  <c r="K56" i="27"/>
  <c r="J56" i="27"/>
  <c r="H56" i="27"/>
  <c r="G56" i="27"/>
  <c r="E56" i="27"/>
  <c r="D56" i="27"/>
  <c r="Q55" i="27"/>
  <c r="P55" i="27"/>
  <c r="N55" i="27"/>
  <c r="M55" i="27"/>
  <c r="K55" i="27"/>
  <c r="J55" i="27"/>
  <c r="H55" i="27"/>
  <c r="G55" i="27"/>
  <c r="E55" i="27"/>
  <c r="D55" i="27"/>
  <c r="Q54" i="27"/>
  <c r="P54" i="27"/>
  <c r="N54" i="27"/>
  <c r="M54" i="27"/>
  <c r="K54" i="27"/>
  <c r="J54" i="27"/>
  <c r="H54" i="27"/>
  <c r="G54" i="27"/>
  <c r="E54" i="27"/>
  <c r="D54" i="27"/>
  <c r="Q53" i="27"/>
  <c r="P53" i="27"/>
  <c r="N53" i="27"/>
  <c r="M53" i="27"/>
  <c r="K53" i="27"/>
  <c r="J53" i="27"/>
  <c r="H53" i="27"/>
  <c r="G53" i="27"/>
  <c r="E53" i="27"/>
  <c r="D53" i="27"/>
  <c r="Q51" i="27"/>
  <c r="P51" i="27"/>
  <c r="N51" i="27"/>
  <c r="M51" i="27"/>
  <c r="K51" i="27"/>
  <c r="J51" i="27"/>
  <c r="H51" i="27"/>
  <c r="G51" i="27"/>
  <c r="E51" i="27"/>
  <c r="D51" i="27"/>
  <c r="Q50" i="27"/>
  <c r="P50" i="27"/>
  <c r="N50" i="27"/>
  <c r="M50" i="27"/>
  <c r="K50" i="27"/>
  <c r="J50" i="27"/>
  <c r="H50" i="27"/>
  <c r="G50" i="27"/>
  <c r="E50" i="27"/>
  <c r="D50" i="27"/>
  <c r="Q49" i="27"/>
  <c r="P49" i="27"/>
  <c r="N49" i="27"/>
  <c r="M49" i="27"/>
  <c r="K49" i="27"/>
  <c r="J49" i="27"/>
  <c r="H49" i="27"/>
  <c r="G49" i="27"/>
  <c r="E49" i="27"/>
  <c r="D49" i="27"/>
  <c r="Q48" i="27"/>
  <c r="P48" i="27"/>
  <c r="N48" i="27"/>
  <c r="M48" i="27"/>
  <c r="K48" i="27"/>
  <c r="J48" i="27"/>
  <c r="H48" i="27"/>
  <c r="G48" i="27"/>
  <c r="E48" i="27"/>
  <c r="D48" i="27"/>
  <c r="Q46" i="27"/>
  <c r="P46" i="27"/>
  <c r="N46" i="27"/>
  <c r="M46" i="27"/>
  <c r="K46" i="27"/>
  <c r="J46" i="27"/>
  <c r="H46" i="27"/>
  <c r="G46" i="27"/>
  <c r="E46" i="27"/>
  <c r="D46" i="27"/>
  <c r="Q45" i="27"/>
  <c r="P45" i="27"/>
  <c r="N45" i="27"/>
  <c r="M45" i="27"/>
  <c r="K45" i="27"/>
  <c r="J45" i="27"/>
  <c r="H45" i="27"/>
  <c r="G45" i="27"/>
  <c r="E45" i="27"/>
  <c r="D45" i="27"/>
  <c r="Q44" i="27"/>
  <c r="P44" i="27"/>
  <c r="N44" i="27"/>
  <c r="M44" i="27"/>
  <c r="K44" i="27"/>
  <c r="J44" i="27"/>
  <c r="H44" i="27"/>
  <c r="G44" i="27"/>
  <c r="E44" i="27"/>
  <c r="D44" i="27"/>
  <c r="Q43" i="27"/>
  <c r="P43" i="27"/>
  <c r="N43" i="27"/>
  <c r="M43" i="27"/>
  <c r="K43" i="27"/>
  <c r="J43" i="27"/>
  <c r="H43" i="27"/>
  <c r="G43" i="27"/>
  <c r="E43" i="27"/>
  <c r="D43" i="27"/>
  <c r="Q41" i="27"/>
  <c r="P41" i="27"/>
  <c r="N41" i="27"/>
  <c r="M41" i="27"/>
  <c r="K41" i="27"/>
  <c r="J41" i="27"/>
  <c r="H41" i="27"/>
  <c r="G41" i="27"/>
  <c r="E41" i="27"/>
  <c r="D41" i="27"/>
  <c r="Q40" i="27"/>
  <c r="P40" i="27"/>
  <c r="N40" i="27"/>
  <c r="M40" i="27"/>
  <c r="K40" i="27"/>
  <c r="J40" i="27"/>
  <c r="H40" i="27"/>
  <c r="G40" i="27"/>
  <c r="E40" i="27"/>
  <c r="D40" i="27"/>
  <c r="Q39" i="27"/>
  <c r="P39" i="27"/>
  <c r="N39" i="27"/>
  <c r="M39" i="27"/>
  <c r="K39" i="27"/>
  <c r="J39" i="27"/>
  <c r="H39" i="27"/>
  <c r="G39" i="27"/>
  <c r="E39" i="27"/>
  <c r="D39" i="27"/>
  <c r="Q38" i="27"/>
  <c r="P38" i="27"/>
  <c r="N38" i="27"/>
  <c r="M38" i="27"/>
  <c r="K38" i="27"/>
  <c r="J38" i="27"/>
  <c r="H38" i="27"/>
  <c r="G38" i="27"/>
  <c r="E38" i="27"/>
  <c r="D38" i="27"/>
  <c r="Q36" i="27"/>
  <c r="P36" i="27"/>
  <c r="N36" i="27"/>
  <c r="M36" i="27"/>
  <c r="K36" i="27"/>
  <c r="J36" i="27"/>
  <c r="H36" i="27"/>
  <c r="G36" i="27"/>
  <c r="E36" i="27"/>
  <c r="D36" i="27"/>
  <c r="Q35" i="27"/>
  <c r="P35" i="27"/>
  <c r="N35" i="27"/>
  <c r="M35" i="27"/>
  <c r="K35" i="27"/>
  <c r="J35" i="27"/>
  <c r="H35" i="27"/>
  <c r="G35" i="27"/>
  <c r="E35" i="27"/>
  <c r="D35" i="27"/>
  <c r="Q34" i="27"/>
  <c r="P34" i="27"/>
  <c r="N34" i="27"/>
  <c r="M34" i="27"/>
  <c r="K34" i="27"/>
  <c r="J34" i="27"/>
  <c r="H34" i="27"/>
  <c r="G34" i="27"/>
  <c r="E34" i="27"/>
  <c r="D34" i="27"/>
  <c r="Q33" i="27"/>
  <c r="P33" i="27"/>
  <c r="N33" i="27"/>
  <c r="M33" i="27"/>
  <c r="K33" i="27"/>
  <c r="J33" i="27"/>
  <c r="H33" i="27"/>
  <c r="G33" i="27"/>
  <c r="E33" i="27"/>
  <c r="D33" i="27"/>
  <c r="C8" i="27"/>
  <c r="F25" i="27" l="1"/>
  <c r="H25" i="27" s="1"/>
  <c r="D23" i="27"/>
  <c r="F24" i="27"/>
  <c r="H24" i="27" s="1"/>
  <c r="D22" i="27"/>
  <c r="F23" i="27"/>
  <c r="F22" i="27"/>
  <c r="H23" i="27"/>
  <c r="D27" i="27"/>
  <c r="H22" i="27"/>
  <c r="D26" i="27"/>
  <c r="F27" i="27"/>
  <c r="H27" i="27" s="1"/>
  <c r="D25" i="27"/>
  <c r="F26" i="27"/>
  <c r="H26" i="27" s="1"/>
  <c r="D24" i="27"/>
  <c r="D33" i="28"/>
  <c r="D25" i="28"/>
  <c r="D32" i="28"/>
  <c r="D24" i="28"/>
  <c r="D31" i="28"/>
  <c r="D23" i="28"/>
  <c r="D30" i="28"/>
  <c r="D22" i="28"/>
  <c r="D29" i="28"/>
  <c r="D28" i="28"/>
  <c r="D27" i="28"/>
  <c r="D26" i="28"/>
  <c r="I79" i="26"/>
  <c r="E37" i="26" s="1"/>
  <c r="I78" i="26"/>
  <c r="D36" i="26" s="1"/>
  <c r="I77" i="26"/>
  <c r="I76" i="26"/>
  <c r="I75" i="26"/>
  <c r="I74" i="26"/>
  <c r="D32" i="26" s="1"/>
  <c r="I73" i="26"/>
  <c r="I72" i="26"/>
  <c r="I71" i="26"/>
  <c r="I70" i="26"/>
  <c r="D28" i="26" s="1"/>
  <c r="I69" i="26"/>
  <c r="I68" i="26"/>
  <c r="I67" i="26"/>
  <c r="I66" i="26"/>
  <c r="D24" i="26" s="1"/>
  <c r="I65" i="26"/>
  <c r="D23" i="26" s="1"/>
  <c r="I64" i="26"/>
  <c r="E22" i="26" s="1"/>
  <c r="I63" i="26"/>
  <c r="I62" i="26"/>
  <c r="D20" i="26" s="1"/>
  <c r="I61" i="26"/>
  <c r="I60" i="26"/>
  <c r="I59" i="26"/>
  <c r="I58" i="26"/>
  <c r="D16" i="26" s="1"/>
  <c r="I57" i="26"/>
  <c r="E15" i="26" s="1"/>
  <c r="I56" i="26"/>
  <c r="E14" i="26" s="1"/>
  <c r="I55" i="26"/>
  <c r="I54" i="26"/>
  <c r="D12" i="26" s="1"/>
  <c r="I53" i="26"/>
  <c r="E36" i="26"/>
  <c r="E35" i="26"/>
  <c r="D35" i="26"/>
  <c r="E34" i="26"/>
  <c r="D34" i="26"/>
  <c r="E33" i="26"/>
  <c r="D33" i="26"/>
  <c r="E29" i="26"/>
  <c r="D29" i="26"/>
  <c r="E28" i="26"/>
  <c r="E27" i="26"/>
  <c r="D27" i="26"/>
  <c r="E26" i="26"/>
  <c r="D26" i="26"/>
  <c r="E25" i="26"/>
  <c r="D25" i="26"/>
  <c r="E24" i="26"/>
  <c r="E23" i="26"/>
  <c r="E21" i="26"/>
  <c r="D21" i="26"/>
  <c r="E20" i="26"/>
  <c r="E19" i="26"/>
  <c r="D19" i="26"/>
  <c r="E18" i="26"/>
  <c r="D18" i="26"/>
  <c r="E17" i="26"/>
  <c r="D17" i="26"/>
  <c r="D14" i="26"/>
  <c r="E13" i="26"/>
  <c r="D13" i="26"/>
  <c r="E12" i="26"/>
  <c r="E11" i="26"/>
  <c r="D11" i="26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64" i="21"/>
  <c r="I65" i="21"/>
  <c r="I60" i="21"/>
  <c r="I61" i="21"/>
  <c r="I56" i="21"/>
  <c r="D14" i="21" s="1"/>
  <c r="I57" i="21"/>
  <c r="I53" i="21"/>
  <c r="D11" i="21" s="1"/>
  <c r="D27" i="21" l="1"/>
  <c r="E27" i="21" s="1"/>
  <c r="D26" i="21"/>
  <c r="E26" i="21" s="1"/>
  <c r="D23" i="21"/>
  <c r="E23" i="21" s="1"/>
  <c r="D22" i="21"/>
  <c r="E22" i="21" s="1"/>
  <c r="D19" i="21"/>
  <c r="E19" i="21" s="1"/>
  <c r="D18" i="21"/>
  <c r="E18" i="21" s="1"/>
  <c r="D15" i="21"/>
  <c r="E15" i="21" s="1"/>
  <c r="E14" i="21"/>
  <c r="E11" i="21"/>
  <c r="D15" i="26"/>
  <c r="D31" i="26"/>
  <c r="E31" i="26" s="1"/>
  <c r="E16" i="26"/>
  <c r="E32" i="26"/>
  <c r="E30" i="26"/>
  <c r="D37" i="26"/>
  <c r="D22" i="26"/>
  <c r="D30" i="26"/>
  <c r="J51" i="17"/>
  <c r="I51" i="17"/>
  <c r="D16" i="15"/>
  <c r="E36" i="19"/>
  <c r="E37" i="19"/>
  <c r="K46" i="20"/>
  <c r="J46" i="20"/>
  <c r="D17" i="20"/>
  <c r="F17" i="20"/>
  <c r="E41" i="23"/>
  <c r="E42" i="23"/>
  <c r="E40" i="23"/>
  <c r="E13" i="23"/>
  <c r="F13" i="23"/>
  <c r="E39" i="23"/>
  <c r="E12" i="23"/>
  <c r="F12" i="23"/>
  <c r="D14" i="23"/>
  <c r="G14" i="23"/>
  <c r="D12" i="23"/>
  <c r="G12" i="23"/>
  <c r="D13" i="23"/>
  <c r="G13" i="23"/>
  <c r="D15" i="23"/>
  <c r="G15" i="23"/>
  <c r="D34" i="21"/>
  <c r="D35" i="21"/>
  <c r="D36" i="21"/>
  <c r="D37" i="21"/>
  <c r="E14" i="23"/>
  <c r="F14" i="23"/>
  <c r="E15" i="23"/>
  <c r="F15" i="23"/>
  <c r="E34" i="21"/>
  <c r="D32" i="21"/>
  <c r="D33" i="21"/>
  <c r="J50" i="17"/>
  <c r="J49" i="17"/>
  <c r="J48" i="17"/>
  <c r="J47" i="17"/>
  <c r="J46" i="17"/>
  <c r="J45" i="17"/>
  <c r="J44" i="17"/>
  <c r="J43" i="17"/>
  <c r="J42" i="17"/>
  <c r="J56" i="22"/>
  <c r="J55" i="22"/>
  <c r="J54" i="22"/>
  <c r="J53" i="22"/>
  <c r="J52" i="22"/>
  <c r="J51" i="22"/>
  <c r="J50" i="22"/>
  <c r="J49" i="22"/>
  <c r="J48" i="22"/>
  <c r="T56" i="22"/>
  <c r="S56" i="22"/>
  <c r="I56" i="22"/>
  <c r="B19" i="22"/>
  <c r="T55" i="22"/>
  <c r="S55" i="22"/>
  <c r="I55" i="22"/>
  <c r="B18" i="22"/>
  <c r="T54" i="22"/>
  <c r="S54" i="22"/>
  <c r="I54" i="22"/>
  <c r="T53" i="22"/>
  <c r="S53" i="22"/>
  <c r="I53" i="22"/>
  <c r="T52" i="22"/>
  <c r="S52" i="22"/>
  <c r="I52" i="22"/>
  <c r="T51" i="22"/>
  <c r="S51" i="22"/>
  <c r="I51" i="22"/>
  <c r="T50" i="22"/>
  <c r="S50" i="22"/>
  <c r="I50" i="22"/>
  <c r="T49" i="22"/>
  <c r="S49" i="22"/>
  <c r="I49" i="22"/>
  <c r="T48" i="22"/>
  <c r="S48" i="22"/>
  <c r="I48" i="22"/>
  <c r="B11" i="22"/>
  <c r="G18" i="22"/>
  <c r="G19" i="22"/>
  <c r="B12" i="22"/>
  <c r="F22" i="22"/>
  <c r="B13" i="22"/>
  <c r="F23" i="22"/>
  <c r="B17" i="22"/>
  <c r="F27" i="22"/>
  <c r="F29" i="22"/>
  <c r="D12" i="22"/>
  <c r="F12" i="22"/>
  <c r="D13" i="22"/>
  <c r="F13" i="22"/>
  <c r="D14" i="22"/>
  <c r="F14" i="22"/>
  <c r="D15" i="22"/>
  <c r="F15" i="22"/>
  <c r="D16" i="22"/>
  <c r="F16" i="22"/>
  <c r="D17" i="22"/>
  <c r="F17" i="22"/>
  <c r="D18" i="22"/>
  <c r="F18" i="22"/>
  <c r="D19" i="22"/>
  <c r="F19" i="22"/>
  <c r="F21" i="22"/>
  <c r="F28" i="22"/>
  <c r="D11" i="22"/>
  <c r="F11" i="22"/>
  <c r="B14" i="22"/>
  <c r="B15" i="22"/>
  <c r="B16" i="22"/>
  <c r="G13" i="22"/>
  <c r="G17" i="22"/>
  <c r="G11" i="22"/>
  <c r="G12" i="22"/>
  <c r="F26" i="22"/>
  <c r="G16" i="22"/>
  <c r="F24" i="22"/>
  <c r="G14" i="22"/>
  <c r="F25" i="22"/>
  <c r="G15" i="22"/>
  <c r="J46" i="12"/>
  <c r="I46" i="12"/>
  <c r="D16" i="12" s="1"/>
  <c r="E16" i="12"/>
  <c r="K44" i="20"/>
  <c r="J44" i="20"/>
  <c r="E17" i="20"/>
  <c r="D15" i="20"/>
  <c r="F15" i="20"/>
  <c r="D37" i="19"/>
  <c r="J50" i="12"/>
  <c r="J51" i="12"/>
  <c r="I51" i="12"/>
  <c r="D21" i="12" s="1"/>
  <c r="I50" i="12"/>
  <c r="D20" i="12" s="1"/>
  <c r="E21" i="12"/>
  <c r="E20" i="12"/>
  <c r="I50" i="17"/>
  <c r="E19" i="17" s="1"/>
  <c r="C32" i="17" s="1"/>
  <c r="I49" i="17"/>
  <c r="E18" i="17"/>
  <c r="C31" i="17" s="1"/>
  <c r="D30" i="21"/>
  <c r="E29" i="21"/>
  <c r="D28" i="21"/>
  <c r="E25" i="21"/>
  <c r="I66" i="21"/>
  <c r="E24" i="21" s="1"/>
  <c r="I63" i="21"/>
  <c r="D21" i="21" s="1"/>
  <c r="I62" i="21"/>
  <c r="D20" i="21" s="1"/>
  <c r="I59" i="21"/>
  <c r="D17" i="21" s="1"/>
  <c r="I58" i="21"/>
  <c r="I55" i="21"/>
  <c r="D13" i="21" s="1"/>
  <c r="I54" i="21"/>
  <c r="D12" i="21" s="1"/>
  <c r="K49" i="20"/>
  <c r="J49" i="20"/>
  <c r="K48" i="20"/>
  <c r="J48" i="20"/>
  <c r="K47" i="20"/>
  <c r="J47" i="20"/>
  <c r="K45" i="20"/>
  <c r="J45" i="20"/>
  <c r="D16" i="20"/>
  <c r="F16" i="20"/>
  <c r="K43" i="20"/>
  <c r="J43" i="20"/>
  <c r="K42" i="20"/>
  <c r="J42" i="20"/>
  <c r="D13" i="20"/>
  <c r="K41" i="20"/>
  <c r="J41" i="20"/>
  <c r="K40" i="20"/>
  <c r="J40" i="20"/>
  <c r="D20" i="20"/>
  <c r="F20" i="20"/>
  <c r="F19" i="20"/>
  <c r="D18" i="20"/>
  <c r="F18" i="20"/>
  <c r="D19" i="20"/>
  <c r="D14" i="20"/>
  <c r="F14" i="20"/>
  <c r="F13" i="20"/>
  <c r="D12" i="20"/>
  <c r="F12" i="20"/>
  <c r="D11" i="20"/>
  <c r="E11" i="20"/>
  <c r="E18" i="20"/>
  <c r="E16" i="20"/>
  <c r="F11" i="20"/>
  <c r="E20" i="20"/>
  <c r="E19" i="20"/>
  <c r="E14" i="20"/>
  <c r="E13" i="20"/>
  <c r="I44" i="17"/>
  <c r="E13" i="17" s="1"/>
  <c r="C26" i="17" s="1"/>
  <c r="I45" i="17"/>
  <c r="I46" i="17"/>
  <c r="I47" i="17"/>
  <c r="E16" i="17" s="1"/>
  <c r="C29" i="17" s="1"/>
  <c r="I48" i="17"/>
  <c r="I54" i="12"/>
  <c r="D24" i="12" s="1"/>
  <c r="J54" i="12"/>
  <c r="I55" i="12"/>
  <c r="D25" i="12" s="1"/>
  <c r="J55" i="12"/>
  <c r="E15" i="17"/>
  <c r="C28" i="17" s="1"/>
  <c r="E25" i="12"/>
  <c r="E14" i="17"/>
  <c r="C27" i="17" s="1"/>
  <c r="E24" i="12"/>
  <c r="D36" i="19"/>
  <c r="D35" i="19"/>
  <c r="K39" i="18"/>
  <c r="M7" i="18"/>
  <c r="J39" i="18"/>
  <c r="I39" i="18"/>
  <c r="H39" i="18"/>
  <c r="G39" i="18"/>
  <c r="F39" i="18"/>
  <c r="L9" i="18"/>
  <c r="E39" i="18"/>
  <c r="D39" i="18"/>
  <c r="K38" i="18"/>
  <c r="J38" i="18"/>
  <c r="I38" i="18"/>
  <c r="H38" i="18"/>
  <c r="G38" i="18"/>
  <c r="F38" i="18"/>
  <c r="E38" i="18"/>
  <c r="D38" i="18"/>
  <c r="K37" i="18"/>
  <c r="J37" i="18"/>
  <c r="I37" i="18"/>
  <c r="H37" i="18"/>
  <c r="G37" i="18"/>
  <c r="F37" i="18"/>
  <c r="E37" i="18"/>
  <c r="D37" i="18"/>
  <c r="K36" i="18"/>
  <c r="J36" i="18"/>
  <c r="I36" i="18"/>
  <c r="H36" i="18"/>
  <c r="G36" i="18"/>
  <c r="F36" i="18"/>
  <c r="E36" i="18"/>
  <c r="D36" i="18"/>
  <c r="K34" i="18"/>
  <c r="J34" i="18"/>
  <c r="I34" i="18"/>
  <c r="H34" i="18"/>
  <c r="G34" i="18"/>
  <c r="F34" i="18"/>
  <c r="E34" i="18"/>
  <c r="D34" i="18"/>
  <c r="K33" i="18"/>
  <c r="J33" i="18"/>
  <c r="I33" i="18"/>
  <c r="H33" i="18"/>
  <c r="G33" i="18"/>
  <c r="F33" i="18"/>
  <c r="E33" i="18"/>
  <c r="D33" i="18"/>
  <c r="K32" i="18"/>
  <c r="J32" i="18"/>
  <c r="L7" i="18" s="1"/>
  <c r="I32" i="18"/>
  <c r="K7" i="18" s="1"/>
  <c r="H32" i="18"/>
  <c r="J7" i="18" s="1"/>
  <c r="N7" i="18" s="1"/>
  <c r="G32" i="18"/>
  <c r="M9" i="18" s="1"/>
  <c r="F32" i="18"/>
  <c r="E32" i="18"/>
  <c r="K9" i="18" s="1"/>
  <c r="D32" i="18"/>
  <c r="M13" i="18"/>
  <c r="L13" i="18"/>
  <c r="K13" i="18"/>
  <c r="J13" i="18"/>
  <c r="I13" i="18"/>
  <c r="H13" i="18"/>
  <c r="J9" i="18"/>
  <c r="N9" i="18" s="1"/>
  <c r="J52" i="12"/>
  <c r="J53" i="12"/>
  <c r="I53" i="12"/>
  <c r="D23" i="12" s="1"/>
  <c r="I52" i="12"/>
  <c r="D22" i="12"/>
  <c r="I43" i="17"/>
  <c r="E12" i="17" s="1"/>
  <c r="I42" i="17"/>
  <c r="C21" i="14"/>
  <c r="B21" i="14"/>
  <c r="B17" i="14"/>
  <c r="C17" i="14"/>
  <c r="I99" i="15"/>
  <c r="L32" i="15"/>
  <c r="H99" i="15"/>
  <c r="G99" i="15"/>
  <c r="M32" i="15"/>
  <c r="I98" i="15"/>
  <c r="H98" i="15"/>
  <c r="G98" i="15"/>
  <c r="I97" i="15"/>
  <c r="H97" i="15"/>
  <c r="G97" i="15"/>
  <c r="I96" i="15"/>
  <c r="H96" i="15"/>
  <c r="G96" i="15"/>
  <c r="I95" i="15"/>
  <c r="H95" i="15"/>
  <c r="G95" i="15"/>
  <c r="I94" i="15"/>
  <c r="H94" i="15"/>
  <c r="G94" i="15"/>
  <c r="I93" i="15"/>
  <c r="H93" i="15"/>
  <c r="J33" i="15"/>
  <c r="G93" i="15"/>
  <c r="M33" i="15"/>
  <c r="I92" i="15"/>
  <c r="H92" i="15"/>
  <c r="G92" i="15"/>
  <c r="I91" i="15"/>
  <c r="H91" i="15"/>
  <c r="G91" i="15"/>
  <c r="I90" i="15"/>
  <c r="H90" i="15"/>
  <c r="G90" i="15"/>
  <c r="I89" i="15"/>
  <c r="H89" i="15"/>
  <c r="G89" i="15"/>
  <c r="I88" i="15"/>
  <c r="H88" i="15"/>
  <c r="G88" i="15"/>
  <c r="I87" i="15"/>
  <c r="H87" i="15"/>
  <c r="G87" i="15"/>
  <c r="I86" i="15"/>
  <c r="H86" i="15"/>
  <c r="G86" i="15"/>
  <c r="I85" i="15"/>
  <c r="H85" i="15"/>
  <c r="G85" i="15"/>
  <c r="I84" i="15"/>
  <c r="H84" i="15"/>
  <c r="G84" i="15"/>
  <c r="I83" i="15"/>
  <c r="H83" i="15"/>
  <c r="G83" i="15"/>
  <c r="I82" i="15"/>
  <c r="H82" i="15"/>
  <c r="G82" i="15"/>
  <c r="I81" i="15"/>
  <c r="H81" i="15"/>
  <c r="G81" i="15"/>
  <c r="I80" i="15"/>
  <c r="H80" i="15"/>
  <c r="G80" i="15"/>
  <c r="I79" i="15"/>
  <c r="H79" i="15"/>
  <c r="G79" i="15"/>
  <c r="I78" i="15"/>
  <c r="H78" i="15"/>
  <c r="G78" i="15"/>
  <c r="I77" i="15"/>
  <c r="L35" i="15"/>
  <c r="H77" i="15"/>
  <c r="J35" i="15"/>
  <c r="G77" i="15"/>
  <c r="M35" i="15"/>
  <c r="I76" i="15"/>
  <c r="H76" i="15"/>
  <c r="G76" i="15"/>
  <c r="I75" i="15"/>
  <c r="H75" i="15"/>
  <c r="G75" i="15"/>
  <c r="I74" i="15"/>
  <c r="H74" i="15"/>
  <c r="G74" i="15"/>
  <c r="M36" i="15"/>
  <c r="I73" i="15"/>
  <c r="H73" i="15"/>
  <c r="G73" i="15"/>
  <c r="I72" i="15"/>
  <c r="H72" i="15"/>
  <c r="G72" i="15"/>
  <c r="I71" i="15"/>
  <c r="H71" i="15"/>
  <c r="G71" i="15"/>
  <c r="I70" i="15"/>
  <c r="H70" i="15"/>
  <c r="G70" i="15"/>
  <c r="I69" i="15"/>
  <c r="H69" i="15"/>
  <c r="J37" i="15"/>
  <c r="G69" i="15"/>
  <c r="M37" i="15"/>
  <c r="I68" i="15"/>
  <c r="H68" i="15"/>
  <c r="G68" i="15"/>
  <c r="I67" i="15"/>
  <c r="H67" i="15"/>
  <c r="G67" i="15"/>
  <c r="I66" i="15"/>
  <c r="H66" i="15"/>
  <c r="G66" i="15"/>
  <c r="I65" i="15"/>
  <c r="H65" i="15"/>
  <c r="G65" i="15"/>
  <c r="I64" i="15"/>
  <c r="H64" i="15"/>
  <c r="G64" i="15"/>
  <c r="I63" i="15"/>
  <c r="H63" i="15"/>
  <c r="G63" i="15"/>
  <c r="I62" i="15"/>
  <c r="H62" i="15"/>
  <c r="G62" i="15"/>
  <c r="I61" i="15"/>
  <c r="H61" i="15"/>
  <c r="J38" i="15"/>
  <c r="G61" i="15"/>
  <c r="M38" i="15"/>
  <c r="M39" i="15"/>
  <c r="M40" i="15"/>
  <c r="I60" i="15"/>
  <c r="H60" i="15"/>
  <c r="G60" i="15"/>
  <c r="I59" i="15"/>
  <c r="H59" i="15"/>
  <c r="G59" i="15"/>
  <c r="I58" i="15"/>
  <c r="H58" i="15"/>
  <c r="G58" i="15"/>
  <c r="I57" i="15"/>
  <c r="H57" i="15"/>
  <c r="G57" i="15"/>
  <c r="I56" i="15"/>
  <c r="H56" i="15"/>
  <c r="G56" i="15"/>
  <c r="G55" i="15"/>
  <c r="K38" i="15"/>
  <c r="K39" i="15"/>
  <c r="K40" i="15"/>
  <c r="G38" i="15"/>
  <c r="G39" i="15"/>
  <c r="G40" i="15"/>
  <c r="G41" i="15"/>
  <c r="G42" i="15"/>
  <c r="G43" i="15"/>
  <c r="G44" i="15"/>
  <c r="G45" i="15"/>
  <c r="G46" i="15"/>
  <c r="M8" i="15"/>
  <c r="K8" i="15" s="1"/>
  <c r="F38" i="15"/>
  <c r="E38" i="15"/>
  <c r="E39" i="15"/>
  <c r="E40" i="15"/>
  <c r="E41" i="15"/>
  <c r="E42" i="15"/>
  <c r="E43" i="15"/>
  <c r="E44" i="15"/>
  <c r="E45" i="15"/>
  <c r="E46" i="15"/>
  <c r="D38" i="15"/>
  <c r="H38" i="15"/>
  <c r="L37" i="15"/>
  <c r="K37" i="15"/>
  <c r="N37" i="15"/>
  <c r="G37" i="15"/>
  <c r="F37" i="15"/>
  <c r="E37" i="15"/>
  <c r="D37" i="15"/>
  <c r="H37" i="15"/>
  <c r="K36" i="15"/>
  <c r="N36" i="15"/>
  <c r="G36" i="15"/>
  <c r="F36" i="15"/>
  <c r="E36" i="15"/>
  <c r="D36" i="15"/>
  <c r="H36" i="15"/>
  <c r="K35" i="15"/>
  <c r="N35" i="15"/>
  <c r="G35" i="15"/>
  <c r="F35" i="15"/>
  <c r="E35" i="15"/>
  <c r="D35" i="15"/>
  <c r="H35" i="15"/>
  <c r="M34" i="15"/>
  <c r="K34" i="15"/>
  <c r="N34" i="15"/>
  <c r="J34" i="15"/>
  <c r="G34" i="15"/>
  <c r="F34" i="15"/>
  <c r="E34" i="15"/>
  <c r="D34" i="15"/>
  <c r="H34" i="15"/>
  <c r="K33" i="15"/>
  <c r="N33" i="15"/>
  <c r="G33" i="15"/>
  <c r="F33" i="15"/>
  <c r="E33" i="15"/>
  <c r="D33" i="15"/>
  <c r="H33" i="15"/>
  <c r="K32" i="15"/>
  <c r="J32" i="15"/>
  <c r="G32" i="15"/>
  <c r="F32" i="15"/>
  <c r="E32" i="15"/>
  <c r="D32" i="15"/>
  <c r="H32" i="15"/>
  <c r="M31" i="15"/>
  <c r="K31" i="15"/>
  <c r="J31" i="15"/>
  <c r="G31" i="15"/>
  <c r="F31" i="15"/>
  <c r="E31" i="15"/>
  <c r="D31" i="15"/>
  <c r="H31" i="15"/>
  <c r="L30" i="15"/>
  <c r="K30" i="15"/>
  <c r="J30" i="15"/>
  <c r="G30" i="15"/>
  <c r="K59" i="15"/>
  <c r="F30" i="15"/>
  <c r="K58" i="15"/>
  <c r="E30" i="15"/>
  <c r="K57" i="15"/>
  <c r="D30" i="15"/>
  <c r="K56" i="15"/>
  <c r="B25" i="14"/>
  <c r="C25" i="14"/>
  <c r="C33" i="14"/>
  <c r="D33" i="14"/>
  <c r="E33" i="14"/>
  <c r="F33" i="14"/>
  <c r="G33" i="14"/>
  <c r="H33" i="14"/>
  <c r="I33" i="14"/>
  <c r="J33" i="14"/>
  <c r="K33" i="14"/>
  <c r="L33" i="14"/>
  <c r="C34" i="14"/>
  <c r="D34" i="14"/>
  <c r="E34" i="14"/>
  <c r="F34" i="14"/>
  <c r="G34" i="14"/>
  <c r="H34" i="14"/>
  <c r="I34" i="14"/>
  <c r="J34" i="14"/>
  <c r="K34" i="14"/>
  <c r="L34" i="14"/>
  <c r="C35" i="14"/>
  <c r="D35" i="14"/>
  <c r="E35" i="14"/>
  <c r="F35" i="14"/>
  <c r="G35" i="14"/>
  <c r="H35" i="14"/>
  <c r="I35" i="14"/>
  <c r="J35" i="14"/>
  <c r="K35" i="14"/>
  <c r="L35" i="14"/>
  <c r="C38" i="14"/>
  <c r="I9" i="14"/>
  <c r="N9" i="14" s="1"/>
  <c r="D38" i="14"/>
  <c r="J9" i="14"/>
  <c r="E38" i="14"/>
  <c r="K9" i="14"/>
  <c r="F38" i="14"/>
  <c r="G38" i="14"/>
  <c r="H38" i="14"/>
  <c r="I38" i="14"/>
  <c r="J38" i="14"/>
  <c r="K7" i="14"/>
  <c r="K38" i="14"/>
  <c r="L7" i="14"/>
  <c r="L38" i="14"/>
  <c r="M7" i="14"/>
  <c r="I49" i="12"/>
  <c r="E19" i="12" s="1"/>
  <c r="I48" i="12"/>
  <c r="D18" i="12" s="1"/>
  <c r="I47" i="12"/>
  <c r="D17" i="12" s="1"/>
  <c r="I45" i="12"/>
  <c r="D15" i="12" s="1"/>
  <c r="E15" i="12"/>
  <c r="I44" i="12"/>
  <c r="I43" i="12"/>
  <c r="D13" i="12" s="1"/>
  <c r="I42" i="12"/>
  <c r="E12" i="12" s="1"/>
  <c r="D12" i="12"/>
  <c r="I41" i="12"/>
  <c r="D11" i="12"/>
  <c r="J41" i="12"/>
  <c r="J42" i="12"/>
  <c r="J43" i="12"/>
  <c r="J44" i="12"/>
  <c r="J45" i="12"/>
  <c r="J47" i="12"/>
  <c r="J48" i="12"/>
  <c r="J49" i="12"/>
  <c r="I56" i="11"/>
  <c r="B19" i="11"/>
  <c r="I55" i="11"/>
  <c r="B18" i="11"/>
  <c r="I54" i="11"/>
  <c r="I52" i="11"/>
  <c r="I50" i="11"/>
  <c r="S50" i="11"/>
  <c r="D13" i="11"/>
  <c r="E13" i="11"/>
  <c r="F13" i="11"/>
  <c r="S51" i="11"/>
  <c r="D14" i="11"/>
  <c r="E14" i="11"/>
  <c r="F14" i="11"/>
  <c r="I48" i="11"/>
  <c r="S48" i="11"/>
  <c r="D11" i="11"/>
  <c r="E11" i="11"/>
  <c r="S56" i="11"/>
  <c r="S55" i="11"/>
  <c r="S54" i="11"/>
  <c r="S53" i="11"/>
  <c r="S52" i="11"/>
  <c r="S49" i="11"/>
  <c r="D12" i="11"/>
  <c r="E12" i="11"/>
  <c r="I49" i="11"/>
  <c r="J39" i="9"/>
  <c r="D11" i="9"/>
  <c r="E11" i="9"/>
  <c r="K39" i="9"/>
  <c r="J40" i="9"/>
  <c r="D12" i="9"/>
  <c r="E12" i="9"/>
  <c r="K40" i="9"/>
  <c r="J41" i="9"/>
  <c r="D13" i="9"/>
  <c r="E13" i="9"/>
  <c r="K41" i="9"/>
  <c r="J42" i="9"/>
  <c r="D14" i="9"/>
  <c r="E14" i="9"/>
  <c r="K42" i="9"/>
  <c r="J43" i="9"/>
  <c r="D15" i="9"/>
  <c r="E15" i="9"/>
  <c r="K43" i="9"/>
  <c r="J44" i="9"/>
  <c r="D16" i="9"/>
  <c r="E16" i="9"/>
  <c r="K44" i="9"/>
  <c r="J45" i="9"/>
  <c r="K45" i="9"/>
  <c r="D17" i="9"/>
  <c r="E17" i="9"/>
  <c r="F17" i="9"/>
  <c r="J46" i="9"/>
  <c r="K46" i="9"/>
  <c r="J47" i="9"/>
  <c r="K47" i="9"/>
  <c r="J39" i="8"/>
  <c r="F11" i="8"/>
  <c r="K39" i="8"/>
  <c r="J40" i="8"/>
  <c r="D12" i="8"/>
  <c r="E12" i="8"/>
  <c r="K40" i="8"/>
  <c r="J41" i="8"/>
  <c r="K41" i="8"/>
  <c r="J42" i="8"/>
  <c r="K42" i="8"/>
  <c r="J43" i="8"/>
  <c r="K43" i="8"/>
  <c r="J44" i="8"/>
  <c r="K44" i="8"/>
  <c r="J45" i="8"/>
  <c r="K45" i="8"/>
  <c r="J46" i="8"/>
  <c r="D18" i="8"/>
  <c r="E18" i="8"/>
  <c r="F18" i="8"/>
  <c r="K46" i="8"/>
  <c r="J47" i="8"/>
  <c r="K47" i="8"/>
  <c r="J46" i="7"/>
  <c r="I38" i="7"/>
  <c r="E11" i="7"/>
  <c r="D23" i="7"/>
  <c r="J38" i="7"/>
  <c r="I39" i="7"/>
  <c r="E12" i="7"/>
  <c r="J39" i="7"/>
  <c r="I40" i="7"/>
  <c r="E13" i="7"/>
  <c r="J40" i="7"/>
  <c r="I41" i="7"/>
  <c r="E14" i="7"/>
  <c r="J41" i="7"/>
  <c r="I42" i="7"/>
  <c r="E15" i="7"/>
  <c r="J42" i="7"/>
  <c r="I43" i="7"/>
  <c r="E16" i="7"/>
  <c r="J43" i="7"/>
  <c r="I44" i="7"/>
  <c r="E17" i="7"/>
  <c r="J44" i="7"/>
  <c r="I45" i="7"/>
  <c r="E18" i="7"/>
  <c r="D30" i="7"/>
  <c r="J45" i="7"/>
  <c r="I46" i="7"/>
  <c r="J48" i="11"/>
  <c r="B11" i="11"/>
  <c r="G11" i="11"/>
  <c r="J49" i="11"/>
  <c r="J50" i="11"/>
  <c r="I51" i="11"/>
  <c r="J51" i="11"/>
  <c r="J52" i="11"/>
  <c r="I53" i="11"/>
  <c r="J53" i="11"/>
  <c r="J56" i="11"/>
  <c r="J55" i="11"/>
  <c r="T48" i="11"/>
  <c r="F11" i="11"/>
  <c r="T49" i="11"/>
  <c r="T50" i="11"/>
  <c r="T51" i="11"/>
  <c r="T52" i="11"/>
  <c r="T53" i="11"/>
  <c r="J54" i="11"/>
  <c r="T54" i="11"/>
  <c r="D17" i="11"/>
  <c r="E17" i="11"/>
  <c r="T55" i="11"/>
  <c r="T56" i="11"/>
  <c r="B13" i="11"/>
  <c r="F22" i="11"/>
  <c r="F12" i="8"/>
  <c r="F13" i="9"/>
  <c r="F11" i="9"/>
  <c r="D11" i="8"/>
  <c r="E11" i="8"/>
  <c r="B16" i="11"/>
  <c r="G16" i="11"/>
  <c r="B17" i="11"/>
  <c r="G17" i="11"/>
  <c r="B15" i="11"/>
  <c r="F23" i="11"/>
  <c r="J8" i="15"/>
  <c r="J36" i="15"/>
  <c r="L38" i="15"/>
  <c r="L39" i="15"/>
  <c r="L36" i="15"/>
  <c r="H30" i="15"/>
  <c r="O32" i="15"/>
  <c r="O31" i="15"/>
  <c r="O36" i="15"/>
  <c r="Q36" i="15"/>
  <c r="I36" i="15"/>
  <c r="R36" i="15"/>
  <c r="D28" i="7"/>
  <c r="C28" i="7"/>
  <c r="G18" i="11"/>
  <c r="F25" i="11"/>
  <c r="E19" i="7"/>
  <c r="C31" i="7"/>
  <c r="F21" i="11"/>
  <c r="L9" i="14"/>
  <c r="F12" i="11"/>
  <c r="F14" i="9"/>
  <c r="F24" i="11"/>
  <c r="I31" i="15"/>
  <c r="R31" i="15"/>
  <c r="F16" i="9"/>
  <c r="D16" i="11"/>
  <c r="E16" i="11"/>
  <c r="F16" i="11"/>
  <c r="B14" i="11"/>
  <c r="G14" i="11"/>
  <c r="D17" i="8"/>
  <c r="E17" i="8"/>
  <c r="D18" i="9"/>
  <c r="E18" i="9"/>
  <c r="F18" i="9"/>
  <c r="M30" i="15"/>
  <c r="I30" i="15"/>
  <c r="R30" i="15"/>
  <c r="D16" i="8"/>
  <c r="E16" i="8"/>
  <c r="F16" i="8"/>
  <c r="F15" i="9"/>
  <c r="D15" i="8"/>
  <c r="E15" i="8"/>
  <c r="F12" i="9"/>
  <c r="D14" i="8"/>
  <c r="E14" i="8"/>
  <c r="D19" i="9"/>
  <c r="E19" i="9"/>
  <c r="M9" i="14"/>
  <c r="C27" i="7"/>
  <c r="D27" i="7"/>
  <c r="D29" i="7"/>
  <c r="C29" i="7"/>
  <c r="J7" i="14"/>
  <c r="D13" i="8"/>
  <c r="E13" i="8"/>
  <c r="F13" i="8"/>
  <c r="D18" i="11"/>
  <c r="E18" i="11"/>
  <c r="F18" i="11"/>
  <c r="I7" i="14"/>
  <c r="N7" i="14"/>
  <c r="D19" i="11"/>
  <c r="E19" i="11"/>
  <c r="C30" i="7"/>
  <c r="D19" i="8"/>
  <c r="E19" i="8"/>
  <c r="F19" i="8"/>
  <c r="B12" i="11"/>
  <c r="G12" i="11"/>
  <c r="D15" i="11"/>
  <c r="E15" i="11"/>
  <c r="F15" i="11"/>
  <c r="G15" i="11"/>
  <c r="K41" i="15"/>
  <c r="K42" i="15"/>
  <c r="K43" i="15"/>
  <c r="K44" i="15"/>
  <c r="K45" i="15"/>
  <c r="K46" i="15"/>
  <c r="K6" i="15"/>
  <c r="J39" i="15"/>
  <c r="J40" i="15"/>
  <c r="J41" i="15"/>
  <c r="J42" i="15"/>
  <c r="J43" i="15"/>
  <c r="J44" i="15"/>
  <c r="J45" i="15"/>
  <c r="J46" i="15"/>
  <c r="J6" i="15"/>
  <c r="D39" i="15"/>
  <c r="L40" i="15"/>
  <c r="L41" i="15"/>
  <c r="L42" i="15"/>
  <c r="L43" i="15"/>
  <c r="L44" i="15"/>
  <c r="L45" i="15"/>
  <c r="L46" i="15"/>
  <c r="L6" i="15"/>
  <c r="F39" i="15"/>
  <c r="F40" i="15"/>
  <c r="F41" i="15"/>
  <c r="F42" i="15"/>
  <c r="F43" i="15"/>
  <c r="F44" i="15"/>
  <c r="F45" i="15"/>
  <c r="F46" i="15"/>
  <c r="L8" i="15"/>
  <c r="N38" i="15"/>
  <c r="O38" i="15"/>
  <c r="M41" i="15"/>
  <c r="M42" i="15"/>
  <c r="M43" i="15"/>
  <c r="M44" i="15"/>
  <c r="M45" i="15"/>
  <c r="M46" i="15"/>
  <c r="M6" i="15"/>
  <c r="D26" i="7"/>
  <c r="C26" i="7"/>
  <c r="F17" i="8"/>
  <c r="C25" i="7"/>
  <c r="D25" i="7"/>
  <c r="G19" i="11"/>
  <c r="F26" i="11"/>
  <c r="D24" i="7"/>
  <c r="C24" i="7"/>
  <c r="F17" i="11"/>
  <c r="C23" i="7"/>
  <c r="F19" i="9"/>
  <c r="F14" i="8"/>
  <c r="L31" i="15"/>
  <c r="L33" i="15"/>
  <c r="D31" i="7"/>
  <c r="I32" i="15"/>
  <c r="R32" i="15"/>
  <c r="O33" i="15"/>
  <c r="L34" i="15"/>
  <c r="G13" i="11"/>
  <c r="F15" i="8"/>
  <c r="O35" i="15"/>
  <c r="F19" i="11"/>
  <c r="O37" i="15"/>
  <c r="O34" i="15"/>
  <c r="D14" i="12"/>
  <c r="E11" i="12"/>
  <c r="D19" i="12"/>
  <c r="E23" i="12"/>
  <c r="E11" i="17"/>
  <c r="C24" i="17" s="1"/>
  <c r="E13" i="12"/>
  <c r="E18" i="12"/>
  <c r="E22" i="12"/>
  <c r="E14" i="12"/>
  <c r="E12" i="20"/>
  <c r="P36" i="15"/>
  <c r="O30" i="15"/>
  <c r="H39" i="15"/>
  <c r="D40" i="15"/>
  <c r="N39" i="15"/>
  <c r="P34" i="15"/>
  <c r="Q34" i="15"/>
  <c r="I34" i="15"/>
  <c r="R34" i="15"/>
  <c r="P33" i="15"/>
  <c r="Q33" i="15"/>
  <c r="I33" i="15"/>
  <c r="R33" i="15"/>
  <c r="Q37" i="15"/>
  <c r="I37" i="15"/>
  <c r="R37" i="15"/>
  <c r="P37" i="15"/>
  <c r="P35" i="15"/>
  <c r="Q35" i="15"/>
  <c r="I35" i="15"/>
  <c r="R35" i="15"/>
  <c r="P38" i="15"/>
  <c r="Q38" i="15"/>
  <c r="N40" i="15"/>
  <c r="O39" i="15"/>
  <c r="H40" i="15"/>
  <c r="D41" i="15"/>
  <c r="I38" i="15"/>
  <c r="N41" i="15"/>
  <c r="O40" i="15"/>
  <c r="H41" i="15"/>
  <c r="D42" i="15"/>
  <c r="Q39" i="15"/>
  <c r="I39" i="15"/>
  <c r="R39" i="15"/>
  <c r="P39" i="15"/>
  <c r="R38" i="15"/>
  <c r="N42" i="15"/>
  <c r="O41" i="15"/>
  <c r="D43" i="15"/>
  <c r="H42" i="15"/>
  <c r="P40" i="15"/>
  <c r="Q40" i="15"/>
  <c r="I40" i="15"/>
  <c r="R40" i="15"/>
  <c r="D44" i="15"/>
  <c r="H43" i="15"/>
  <c r="N43" i="15"/>
  <c r="O42" i="15"/>
  <c r="P41" i="15"/>
  <c r="Q41" i="15"/>
  <c r="I41" i="15"/>
  <c r="R41" i="15"/>
  <c r="H44" i="15"/>
  <c r="D45" i="15"/>
  <c r="N44" i="15"/>
  <c r="O43" i="15"/>
  <c r="Q42" i="15"/>
  <c r="I42" i="15"/>
  <c r="R42" i="15"/>
  <c r="P42" i="15"/>
  <c r="H45" i="15"/>
  <c r="D46" i="15"/>
  <c r="O44" i="15"/>
  <c r="P44" i="15"/>
  <c r="N45" i="15"/>
  <c r="Q43" i="15"/>
  <c r="I43" i="15"/>
  <c r="R43" i="15"/>
  <c r="P43" i="15"/>
  <c r="Q44" i="15"/>
  <c r="I44" i="15"/>
  <c r="R44" i="15"/>
  <c r="N46" i="15"/>
  <c r="O45" i="15"/>
  <c r="I8" i="15"/>
  <c r="H46" i="15"/>
  <c r="R8" i="15"/>
  <c r="O6" i="15"/>
  <c r="O46" i="15"/>
  <c r="Q45" i="15"/>
  <c r="I45" i="15"/>
  <c r="R45" i="15"/>
  <c r="P45" i="15"/>
  <c r="P46" i="15"/>
  <c r="P6" i="15"/>
  <c r="Q46" i="15"/>
  <c r="Q6" i="15"/>
  <c r="I46" i="15"/>
  <c r="R46" i="15"/>
  <c r="R6" i="15"/>
  <c r="I6" i="15"/>
  <c r="D13" i="19" l="1"/>
  <c r="F36" i="19" s="1"/>
  <c r="B22" i="19"/>
  <c r="H13" i="19"/>
  <c r="C22" i="19"/>
  <c r="F13" i="19"/>
  <c r="H11" i="19"/>
  <c r="B20" i="19"/>
  <c r="F11" i="19"/>
  <c r="C20" i="19"/>
  <c r="D11" i="19"/>
  <c r="E13" i="19"/>
  <c r="G36" i="19" s="1"/>
  <c r="E22" i="19"/>
  <c r="I13" i="19"/>
  <c r="G13" i="19"/>
  <c r="D22" i="19"/>
  <c r="F12" i="19"/>
  <c r="B21" i="19"/>
  <c r="C21" i="19"/>
  <c r="H12" i="19"/>
  <c r="E12" i="19"/>
  <c r="G35" i="19" s="1"/>
  <c r="E21" i="19"/>
  <c r="I12" i="19"/>
  <c r="D21" i="19"/>
  <c r="G12" i="19"/>
  <c r="D12" i="19"/>
  <c r="F35" i="19" s="1"/>
  <c r="C25" i="17"/>
  <c r="D25" i="17"/>
  <c r="E20" i="17"/>
  <c r="C33" i="17" s="1"/>
  <c r="D28" i="17"/>
  <c r="E17" i="17"/>
  <c r="D31" i="17"/>
  <c r="C30" i="17"/>
  <c r="D30" i="17"/>
  <c r="D24" i="17"/>
  <c r="D27" i="17"/>
  <c r="D33" i="17"/>
  <c r="D26" i="17"/>
  <c r="D32" i="17"/>
  <c r="D29" i="17"/>
  <c r="E17" i="12"/>
  <c r="G34" i="19"/>
  <c r="D25" i="21"/>
  <c r="E12" i="21"/>
  <c r="E21" i="21"/>
  <c r="E13" i="21"/>
  <c r="E32" i="21"/>
  <c r="E30" i="21"/>
  <c r="E37" i="21"/>
  <c r="D16" i="21"/>
  <c r="E16" i="21" s="1"/>
  <c r="D31" i="21"/>
  <c r="E31" i="21" s="1"/>
  <c r="D29" i="21"/>
  <c r="E20" i="21"/>
  <c r="E28" i="21"/>
  <c r="E33" i="21"/>
  <c r="E36" i="21"/>
  <c r="D24" i="21"/>
  <c r="E17" i="21"/>
  <c r="E35" i="21"/>
  <c r="F34" i="19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<sst xmlns="http://schemas.openxmlformats.org/spreadsheetml/2006/main" count="2633" uniqueCount="876">
  <si>
    <t>Type</t>
  </si>
  <si>
    <t>X</t>
  </si>
  <si>
    <t>Y</t>
  </si>
  <si>
    <t>Z</t>
  </si>
  <si>
    <t>Min</t>
  </si>
  <si>
    <t>Max</t>
  </si>
  <si>
    <t>Evaluering af Flow</t>
  </si>
  <si>
    <t>Evaluering af Dp</t>
  </si>
  <si>
    <t>Kvs</t>
  </si>
  <si>
    <t>Eingabe    Q =</t>
  </si>
  <si>
    <t>Eingabe</t>
  </si>
  <si>
    <t xml:space="preserve">ACHTUNG !!   BITTE HIER NICHT DATEN ÄNDERN </t>
  </si>
  <si>
    <t>DN15 5-30 kPa</t>
  </si>
  <si>
    <t>DN15 20-60 kPa</t>
  </si>
  <si>
    <t>DN20 5-30 kPa</t>
  </si>
  <si>
    <t>DN20 20-60 kPa</t>
  </si>
  <si>
    <t>DN25 5-30 kPa</t>
  </si>
  <si>
    <t>DN25 20-60 kPa</t>
  </si>
  <si>
    <t>DN32 20-80 kPa</t>
  </si>
  <si>
    <t>DN40 20-80 kPa</t>
  </si>
  <si>
    <t>DN50 20-80 kPa</t>
  </si>
  <si>
    <t>DN20 5-30kPa</t>
  </si>
  <si>
    <t>DN20 20-60kPa</t>
  </si>
  <si>
    <t xml:space="preserve">QUICK - CALC Frese PV  </t>
  </si>
  <si>
    <t>Dimension</t>
  </si>
  <si>
    <t>Input</t>
  </si>
  <si>
    <t>Number of turns</t>
  </si>
  <si>
    <t>∆Pv (kPa)</t>
  </si>
  <si>
    <t xml:space="preserve">Der Regelbereich ist definiert von Min. Pumpendruck (Min. ∆Pp) bis Max. Pumpendruck (Max.∆Pp) .   </t>
  </si>
  <si>
    <t>Min. ∆Pp (kPa)</t>
  </si>
  <si>
    <t>Input ∆Ps =</t>
  </si>
  <si>
    <t>50-600</t>
  </si>
  <si>
    <t>100-1200</t>
  </si>
  <si>
    <t>100-1000</t>
  </si>
  <si>
    <t>150-2000</t>
  </si>
  <si>
    <t>600-2500</t>
  </si>
  <si>
    <t>700-4000</t>
  </si>
  <si>
    <t>1000-5000</t>
  </si>
  <si>
    <t>3000-8000</t>
  </si>
  <si>
    <t>5000-15000</t>
  </si>
  <si>
    <t>5-400</t>
  </si>
  <si>
    <t>20-400</t>
  </si>
  <si>
    <t>Dim.</t>
  </si>
  <si>
    <t xml:space="preserve">DN15 </t>
  </si>
  <si>
    <t>5-30 kPa</t>
  </si>
  <si>
    <t>20-60 kPa</t>
  </si>
  <si>
    <t xml:space="preserve">DN20 </t>
  </si>
  <si>
    <t>5-30kPa</t>
  </si>
  <si>
    <t>DN20</t>
  </si>
  <si>
    <t>DN25</t>
  </si>
  <si>
    <t>DN32</t>
  </si>
  <si>
    <t>DN40</t>
  </si>
  <si>
    <t>DN50</t>
  </si>
  <si>
    <t>20-60kPa</t>
  </si>
  <si>
    <t>20-80 kPa</t>
  </si>
  <si>
    <t>Flow (l/h)</t>
  </si>
  <si>
    <t>Input    Q =</t>
  </si>
  <si>
    <t>(kPa) Differential Pessure setting</t>
  </si>
  <si>
    <t>(l/h) Design flow</t>
  </si>
  <si>
    <t>∆Ps range</t>
  </si>
  <si>
    <t>Range</t>
  </si>
  <si>
    <t>Range ∆Pp (kPa)</t>
  </si>
  <si>
    <t>Pre-set</t>
  </si>
  <si>
    <t>Calculation of pressure loss</t>
  </si>
  <si>
    <t xml:space="preserve">Range ∆Pp is defined from Min. Pump pressure (Min. ∆Pp) to Max. Pump pressure (Max.∆Pp) .   </t>
  </si>
  <si>
    <t>QUICK - CALC Frese S</t>
  </si>
  <si>
    <t>Eingabe dP =</t>
  </si>
  <si>
    <t>(kPa) Differenzdruck am Ventil</t>
  </si>
  <si>
    <t>Input         Q =</t>
  </si>
  <si>
    <t>(l/h) Flow</t>
  </si>
  <si>
    <t>Calculation</t>
  </si>
  <si>
    <t>Kv</t>
  </si>
  <si>
    <t>Min. ∆P (kPa)</t>
  </si>
  <si>
    <t>DN15 LP</t>
  </si>
  <si>
    <t>25-804</t>
  </si>
  <si>
    <t>8-250</t>
  </si>
  <si>
    <t>DN15 HP</t>
  </si>
  <si>
    <t>40-1100</t>
  </si>
  <si>
    <t>16-400</t>
  </si>
  <si>
    <t>DN20 LP</t>
  </si>
  <si>
    <t>41-1265</t>
  </si>
  <si>
    <t>9-250</t>
  </si>
  <si>
    <t>DN20 HP</t>
  </si>
  <si>
    <t>66-1850</t>
  </si>
  <si>
    <t>12-400</t>
  </si>
  <si>
    <t>DN25 LP</t>
  </si>
  <si>
    <t>61-1663</t>
  </si>
  <si>
    <t>DN25 HP</t>
  </si>
  <si>
    <t>89-2350</t>
  </si>
  <si>
    <t xml:space="preserve">DN32 </t>
  </si>
  <si>
    <t>217-4800</t>
  </si>
  <si>
    <t>14-400</t>
  </si>
  <si>
    <t xml:space="preserve">DN40 </t>
  </si>
  <si>
    <t>175-7450</t>
  </si>
  <si>
    <t>15-400</t>
  </si>
  <si>
    <t xml:space="preserve">DN50 </t>
  </si>
  <si>
    <t>440-10350</t>
  </si>
  <si>
    <t>17-400</t>
  </si>
  <si>
    <t>QUICK - CALC Frese OPTIMA</t>
  </si>
  <si>
    <t>Range ∆Pp(kPa)</t>
  </si>
  <si>
    <t>DN15 LF</t>
  </si>
  <si>
    <t>78-625</t>
  </si>
  <si>
    <t>DN15 HF</t>
  </si>
  <si>
    <t>244-1724</t>
  </si>
  <si>
    <t>DN20 LF</t>
  </si>
  <si>
    <t>131-1050</t>
  </si>
  <si>
    <t>DN20 HF</t>
  </si>
  <si>
    <t>292-2039</t>
  </si>
  <si>
    <t>13-400</t>
  </si>
  <si>
    <t>DN25 LF</t>
  </si>
  <si>
    <t>231-1722</t>
  </si>
  <si>
    <t>DN25 HF</t>
  </si>
  <si>
    <t>465-3056</t>
  </si>
  <si>
    <t>2022-7105</t>
  </si>
  <si>
    <t>2204-8586</t>
  </si>
  <si>
    <t>19-400</t>
  </si>
  <si>
    <t>Auslegungsprogramm für Frese S Dynamischer Volumenstromregler</t>
  </si>
  <si>
    <t>Input Q =</t>
  </si>
  <si>
    <t>(l/h) Design flow in Zone</t>
  </si>
  <si>
    <t>(l/h) Auslegungsvolumenstrom</t>
  </si>
  <si>
    <t xml:space="preserve">(L/h)  Auslegungsvolumenstrom </t>
  </si>
  <si>
    <t>Pre-set Frese PV</t>
  </si>
  <si>
    <t>Pre-set Frese S</t>
  </si>
  <si>
    <t>Total Pressure loss</t>
  </si>
  <si>
    <t>Frese PV  ∆P - Controller</t>
  </si>
  <si>
    <t>Frese S   Flow Controller</t>
  </si>
  <si>
    <t>Frese PV&amp;S  ∆P &amp; Flow Controller</t>
  </si>
  <si>
    <t>Flow range (l/h)</t>
  </si>
  <si>
    <t>∆Pp range (kPa)</t>
  </si>
  <si>
    <t>∆Ps range (kPa)</t>
  </si>
  <si>
    <t>5-30</t>
  </si>
  <si>
    <t>20-80</t>
  </si>
  <si>
    <t>1000-4800</t>
  </si>
  <si>
    <t>38-400</t>
  </si>
  <si>
    <t>3000-7450</t>
  </si>
  <si>
    <t>5000-10350</t>
  </si>
  <si>
    <t>45-400</t>
  </si>
  <si>
    <t>PVS System</t>
  </si>
  <si>
    <t>DN32 HP</t>
  </si>
  <si>
    <t>DN40 HP</t>
  </si>
  <si>
    <t>DN50 HP</t>
  </si>
  <si>
    <t>DN15    5-30kPa</t>
  </si>
  <si>
    <t>14-250</t>
  </si>
  <si>
    <t>DN20    5-30 kPa</t>
  </si>
  <si>
    <t>DN25    5-30kPa</t>
  </si>
  <si>
    <t>600-1663</t>
  </si>
  <si>
    <t>17-250</t>
  </si>
  <si>
    <t>DN32    20-80kPa</t>
  </si>
  <si>
    <t>DN40    20-80kPa</t>
  </si>
  <si>
    <t>DN50    20-80kPa</t>
  </si>
  <si>
    <t>57-400</t>
  </si>
  <si>
    <t>(kPa) Differential pressure setting</t>
  </si>
  <si>
    <t>Frese PV (Return)</t>
  </si>
  <si>
    <t>Frese S  (Supply)</t>
  </si>
  <si>
    <t>Dim.     ∆Ps Rang.</t>
  </si>
  <si>
    <t>DN15    20-60kPa</t>
  </si>
  <si>
    <t>DN20    20-60kPa</t>
  </si>
  <si>
    <t>DN25    20-60kPa</t>
  </si>
  <si>
    <t>37-400</t>
  </si>
  <si>
    <t>33-400</t>
  </si>
  <si>
    <t>100-1100</t>
  </si>
  <si>
    <t>150-1850</t>
  </si>
  <si>
    <t>700-2350</t>
  </si>
  <si>
    <t>20-60</t>
  </si>
  <si>
    <t xml:space="preserve">QUICK - CALC Frese PVS </t>
  </si>
  <si>
    <t>DN10 Low 2,5</t>
  </si>
  <si>
    <t>DN10 Low 5,0</t>
  </si>
  <si>
    <t>DN15 Low 2,5</t>
  </si>
  <si>
    <t>DN15 Low 5,0</t>
  </si>
  <si>
    <t>DN15 High 2,5</t>
  </si>
  <si>
    <t>DN20 High 2,5</t>
  </si>
  <si>
    <t>DN20 High 4,0</t>
  </si>
  <si>
    <t>DN20 High 5,0</t>
  </si>
  <si>
    <t xml:space="preserve">Range ∆Pp is defined from Min. Pump pressure (Min. ∆Pp) to Max. Pump pressure (Max.∆Pp) .    </t>
  </si>
  <si>
    <t>49-44262</t>
  </si>
  <si>
    <t>50-44262</t>
  </si>
  <si>
    <t>49-44250</t>
  </si>
  <si>
    <t>50-44250</t>
  </si>
  <si>
    <t>49-44248</t>
  </si>
  <si>
    <t>50-44248</t>
  </si>
  <si>
    <t>49-44241</t>
  </si>
  <si>
    <t>50-44241</t>
  </si>
  <si>
    <t>49-44235</t>
  </si>
  <si>
    <t>50-44235</t>
  </si>
  <si>
    <t>49-44229</t>
  </si>
  <si>
    <t>50-44229</t>
  </si>
  <si>
    <t>49-44222</t>
  </si>
  <si>
    <t>50-44222</t>
  </si>
  <si>
    <t>49-21090</t>
  </si>
  <si>
    <t>50-21090</t>
  </si>
  <si>
    <t>49-44217</t>
  </si>
  <si>
    <t>50-44217</t>
  </si>
  <si>
    <t>49-21060</t>
  </si>
  <si>
    <t>50-21060</t>
  </si>
  <si>
    <t>49-44211</t>
  </si>
  <si>
    <t>50-44211</t>
  </si>
  <si>
    <t>49-21030</t>
  </si>
  <si>
    <t>50-21030</t>
  </si>
  <si>
    <t>49-44205</t>
  </si>
  <si>
    <t>50-44205</t>
  </si>
  <si>
    <t>49-20990</t>
  </si>
  <si>
    <t>50-20990</t>
  </si>
  <si>
    <t>49-44200</t>
  </si>
  <si>
    <t>50-44200</t>
  </si>
  <si>
    <t>49-20940</t>
  </si>
  <si>
    <t>50-20940</t>
  </si>
  <si>
    <t>49-44194</t>
  </si>
  <si>
    <t>50-44194</t>
  </si>
  <si>
    <t>49-20920</t>
  </si>
  <si>
    <t>50-20920</t>
  </si>
  <si>
    <t>49-44191</t>
  </si>
  <si>
    <t>50-44191</t>
  </si>
  <si>
    <t>49-20880</t>
  </si>
  <si>
    <t>50-20880</t>
  </si>
  <si>
    <t>49-44182</t>
  </si>
  <si>
    <t>50-44182</t>
  </si>
  <si>
    <t>49-20860</t>
  </si>
  <si>
    <t>50-20860</t>
  </si>
  <si>
    <t>49-44176</t>
  </si>
  <si>
    <t>50-44176</t>
  </si>
  <si>
    <t>49-20820</t>
  </si>
  <si>
    <t>50-20820</t>
  </si>
  <si>
    <t>49-44173</t>
  </si>
  <si>
    <t>50-44173</t>
  </si>
  <si>
    <t>49-20770</t>
  </si>
  <si>
    <t>50-20770</t>
  </si>
  <si>
    <t>49-44168</t>
  </si>
  <si>
    <t>50-44168</t>
  </si>
  <si>
    <t>49-20740</t>
  </si>
  <si>
    <t>50-20740</t>
  </si>
  <si>
    <t>49-44164</t>
  </si>
  <si>
    <t>50-44164</t>
  </si>
  <si>
    <t>49-20700</t>
  </si>
  <si>
    <t>50-20700</t>
  </si>
  <si>
    <t>49-44156</t>
  </si>
  <si>
    <t>50-44156</t>
  </si>
  <si>
    <t>49-11750</t>
  </si>
  <si>
    <t>50-11750</t>
  </si>
  <si>
    <t>49-44152</t>
  </si>
  <si>
    <t>50-44152</t>
  </si>
  <si>
    <t>49-11745</t>
  </si>
  <si>
    <t>50-11745</t>
  </si>
  <si>
    <t>49-44148</t>
  </si>
  <si>
    <t>50-44148</t>
  </si>
  <si>
    <t>49-11740</t>
  </si>
  <si>
    <t>50-11740</t>
  </si>
  <si>
    <t>49-33163</t>
  </si>
  <si>
    <t>50-33163</t>
  </si>
  <si>
    <t>49-11735</t>
  </si>
  <si>
    <t>50-11735</t>
  </si>
  <si>
    <t>49-33161</t>
  </si>
  <si>
    <t>50-33161</t>
  </si>
  <si>
    <t>49-11730</t>
  </si>
  <si>
    <t>50-11730</t>
  </si>
  <si>
    <t>49-33156</t>
  </si>
  <si>
    <t>50-33156</t>
  </si>
  <si>
    <t>49-11725</t>
  </si>
  <si>
    <t>50-11725</t>
  </si>
  <si>
    <t>49-33148</t>
  </si>
  <si>
    <t>50-33148</t>
  </si>
  <si>
    <t>49-11620</t>
  </si>
  <si>
    <t>50-11620</t>
  </si>
  <si>
    <t>49-33142</t>
  </si>
  <si>
    <t>50-33142</t>
  </si>
  <si>
    <t>49-11570</t>
  </si>
  <si>
    <t>50-11570</t>
  </si>
  <si>
    <t>49-33138</t>
  </si>
  <si>
    <t>50-33138</t>
  </si>
  <si>
    <t>49-11540</t>
  </si>
  <si>
    <t>50-11540</t>
  </si>
  <si>
    <t>49-33135</t>
  </si>
  <si>
    <t>50-33135</t>
  </si>
  <si>
    <t>49-11510</t>
  </si>
  <si>
    <t>50-11510</t>
  </si>
  <si>
    <t>49-33132</t>
  </si>
  <si>
    <t>50-33132</t>
  </si>
  <si>
    <t>49-11490</t>
  </si>
  <si>
    <t>50-11490</t>
  </si>
  <si>
    <t>49-33129</t>
  </si>
  <si>
    <t>50-33129</t>
  </si>
  <si>
    <t>49-11460</t>
  </si>
  <si>
    <t>50-11460</t>
  </si>
  <si>
    <t>49-33125</t>
  </si>
  <si>
    <t>50-33125</t>
  </si>
  <si>
    <t>49-11430</t>
  </si>
  <si>
    <t>50-11430</t>
  </si>
  <si>
    <t>49-33124</t>
  </si>
  <si>
    <t>50-33124</t>
  </si>
  <si>
    <t>49-11400</t>
  </si>
  <si>
    <t>50-11400</t>
  </si>
  <si>
    <t>49-33118</t>
  </si>
  <si>
    <t>50-33118</t>
  </si>
  <si>
    <t>49-11370</t>
  </si>
  <si>
    <t>50-11370</t>
  </si>
  <si>
    <t>49-33112</t>
  </si>
  <si>
    <t>50-33112</t>
  </si>
  <si>
    <t>49-11350</t>
  </si>
  <si>
    <t>50-11350</t>
  </si>
  <si>
    <t>49-33111</t>
  </si>
  <si>
    <t>50-33111</t>
  </si>
  <si>
    <t>49-11320</t>
  </si>
  <si>
    <t>50-11320</t>
  </si>
  <si>
    <t>49-33107</t>
  </si>
  <si>
    <t>50-33107</t>
  </si>
  <si>
    <t>49-11300</t>
  </si>
  <si>
    <t>50-11300</t>
  </si>
  <si>
    <t>49-33102</t>
  </si>
  <si>
    <t>50-33102</t>
  </si>
  <si>
    <t>49-11290</t>
  </si>
  <si>
    <t>50-11290</t>
  </si>
  <si>
    <t>49-33098</t>
  </si>
  <si>
    <t>50-33098</t>
  </si>
  <si>
    <t>49-11260</t>
  </si>
  <si>
    <t>50-11260</t>
  </si>
  <si>
    <t>49-33096</t>
  </si>
  <si>
    <t>50-33096</t>
  </si>
  <si>
    <t>49-11230</t>
  </si>
  <si>
    <t>50-11230</t>
  </si>
  <si>
    <t>49-33094</t>
  </si>
  <si>
    <t>50-33094</t>
  </si>
  <si>
    <t>49-11210</t>
  </si>
  <si>
    <t>50-11210</t>
  </si>
  <si>
    <t>49-33089</t>
  </si>
  <si>
    <t>50-33089</t>
  </si>
  <si>
    <t>N/A</t>
  </si>
  <si>
    <t>50-11190</t>
  </si>
  <si>
    <t>49-33082</t>
  </si>
  <si>
    <t>50-33082</t>
  </si>
  <si>
    <t>50-11170</t>
  </si>
  <si>
    <t>49-33073</t>
  </si>
  <si>
    <t>50-33073</t>
  </si>
  <si>
    <t>50-11150</t>
  </si>
  <si>
    <t>HP</t>
  </si>
  <si>
    <t>LP</t>
  </si>
  <si>
    <t>DP</t>
  </si>
  <si>
    <t>Der Regelbereich = S ….</t>
  </si>
  <si>
    <t>Vare nr.</t>
  </si>
  <si>
    <t>L/h</t>
  </si>
  <si>
    <t>Grosser</t>
  </si>
  <si>
    <t>Kleiner</t>
  </si>
  <si>
    <t>Gehäuse sind mit Stopfen, Druckmessnippel oder Füll- und Entleerungskugelhahn</t>
  </si>
  <si>
    <t>DN25L-DN50</t>
  </si>
  <si>
    <t>DN15-DN25</t>
  </si>
  <si>
    <t>49-9061</t>
  </si>
  <si>
    <t>49-9064</t>
  </si>
  <si>
    <t>49-9066</t>
  </si>
  <si>
    <t>674-11355</t>
  </si>
  <si>
    <t>49-9051</t>
  </si>
  <si>
    <t>49-9054</t>
  </si>
  <si>
    <t>49-9056</t>
  </si>
  <si>
    <t>49-9041</t>
  </si>
  <si>
    <t>49-9044</t>
  </si>
  <si>
    <t>49-9046</t>
  </si>
  <si>
    <t>49-9031</t>
  </si>
  <si>
    <t>49-9034</t>
  </si>
  <si>
    <t>49-9036</t>
  </si>
  <si>
    <t>25L</t>
  </si>
  <si>
    <t>49-9021</t>
  </si>
  <si>
    <t>49-9024</t>
  </si>
  <si>
    <t>49-9026</t>
  </si>
  <si>
    <t>25-2448</t>
  </si>
  <si>
    <t>49-9011</t>
  </si>
  <si>
    <t>49-9014</t>
  </si>
  <si>
    <t>49-9016</t>
  </si>
  <si>
    <t>49-9001</t>
  </si>
  <si>
    <t>49-9004</t>
  </si>
  <si>
    <t>49-9006</t>
  </si>
  <si>
    <t>IG/IG</t>
  </si>
  <si>
    <t>bis 6,0 bar</t>
  </si>
  <si>
    <t>bis 3,5 bar</t>
  </si>
  <si>
    <t>kPa</t>
  </si>
  <si>
    <t>DN</t>
  </si>
  <si>
    <t>Alpha DM</t>
  </si>
  <si>
    <t>Alpha FE</t>
  </si>
  <si>
    <t>Alpha S</t>
  </si>
  <si>
    <t>HP-Einsatz</t>
  </si>
  <si>
    <t>LP-Einsatz</t>
  </si>
  <si>
    <t>Strom</t>
  </si>
  <si>
    <t xml:space="preserve">Bereich </t>
  </si>
  <si>
    <t>Art.-Nr.</t>
  </si>
  <si>
    <t xml:space="preserve">Min. ΔP </t>
  </si>
  <si>
    <t>Vol.-</t>
  </si>
  <si>
    <t>Ventil</t>
  </si>
  <si>
    <t>Alpha Ventilgehäuse Modell</t>
  </si>
  <si>
    <t>Berechnung nächst größer Volumenstrom</t>
  </si>
  <si>
    <t>Berechnung nächst kleiner Volumenstrom</t>
  </si>
  <si>
    <t>Alpha Regler</t>
  </si>
  <si>
    <t>l/h</t>
  </si>
  <si>
    <t>Flow</t>
  </si>
  <si>
    <t>ALPHA</t>
  </si>
  <si>
    <t>12-600</t>
  </si>
  <si>
    <t xml:space="preserve">7-600 </t>
  </si>
  <si>
    <t>HP High Press.</t>
  </si>
  <si>
    <t>12-350</t>
  </si>
  <si>
    <t xml:space="preserve">7-350 </t>
  </si>
  <si>
    <t>LP Low Press.</t>
  </si>
  <si>
    <t>DN25L-50</t>
  </si>
  <si>
    <t>DN15-25</t>
  </si>
  <si>
    <t>Quick - CALC Frese ALPHA</t>
  </si>
  <si>
    <t xml:space="preserve">EVA Basic </t>
  </si>
  <si>
    <t xml:space="preserve">EVA </t>
  </si>
  <si>
    <t>Geh+Ein</t>
  </si>
  <si>
    <t>Geh.+Eins.</t>
  </si>
  <si>
    <t>Min DP To</t>
  </si>
  <si>
    <t>48-5806</t>
  </si>
  <si>
    <t>EVA Basic</t>
  </si>
  <si>
    <t>48-5802</t>
  </si>
  <si>
    <t>48-5805</t>
  </si>
  <si>
    <t>48-5801</t>
  </si>
  <si>
    <t>48-5804</t>
  </si>
  <si>
    <t>48-5800</t>
  </si>
  <si>
    <t>48-5803</t>
  </si>
  <si>
    <t>EVA DM</t>
  </si>
  <si>
    <t>EVA S</t>
  </si>
  <si>
    <t>Ges. Ventil</t>
  </si>
  <si>
    <t>Einsatz</t>
  </si>
  <si>
    <t>EVA Ventilgehäuse</t>
  </si>
  <si>
    <t>230 V On/Off</t>
  </si>
  <si>
    <t>24 V On/Off</t>
  </si>
  <si>
    <t>Min. ΔP kPa</t>
  </si>
  <si>
    <t>Quick - CALC Frese EVA</t>
  </si>
  <si>
    <t>m³/h Flow</t>
  </si>
  <si>
    <t>m³/h</t>
  </si>
  <si>
    <t>AISI 304</t>
  </si>
  <si>
    <t>Berechnungen  Nächst kleiner Volumenstrom :</t>
  </si>
  <si>
    <t>Berechnungen  Nächst größer Volumenstrom :</t>
  </si>
  <si>
    <t>Vol.-Ber.</t>
  </si>
  <si>
    <t>Anzahl</t>
  </si>
  <si>
    <t>Vol.-Str</t>
  </si>
  <si>
    <t xml:space="preserve">Min ΔP </t>
  </si>
  <si>
    <t>Vol.-Strom</t>
  </si>
  <si>
    <t>Ist/Soll</t>
  </si>
  <si>
    <t>Anz</t>
  </si>
  <si>
    <t>Rest</t>
  </si>
  <si>
    <t>Einsätze</t>
  </si>
  <si>
    <t>Abw.</t>
  </si>
  <si>
    <t>Eins</t>
  </si>
  <si>
    <t>Regler Komplett</t>
  </si>
  <si>
    <t xml:space="preserve">   Regler Komplett</t>
  </si>
  <si>
    <t>Eins.</t>
  </si>
  <si>
    <t>'=((SVERWEIS(($D$5/$C17);$D$40:$F$84;1)*C17))</t>
  </si>
  <si>
    <t>Flow &gt;</t>
  </si>
  <si>
    <t>=((SVERWEIS(($D$5/$C22);$C$38:$I$81;1)*(C22-1)))</t>
  </si>
  <si>
    <t>'=WENN($D$5/$C23&lt;3,8;SVERWEIS(($D$5/$C22);$D$40:$F$84;1);SVERWEIS(($D$5/$C23);$D$40:$F$84;1))</t>
  </si>
  <si>
    <t>Korrektion til slut :</t>
  </si>
  <si>
    <t>'=WENN($D$5/$C24&lt;3,8;D23;SVERWEIS(($D$5/$C24);$D$40:$F$84;1))</t>
  </si>
  <si>
    <t>Spalte D:H Min el slettes</t>
  </si>
  <si>
    <t>DN50-DN800</t>
  </si>
  <si>
    <t>WENN(Prüfung;Dann_Wert; WENN(Prüfung;Dann_Wert;Sonst_Wert))</t>
  </si>
  <si>
    <t>SVERWEIS(Suchkriterium;Matrix;Spalteindex;Bereich_Verweis)</t>
  </si>
  <si>
    <t>D</t>
  </si>
  <si>
    <t>52-55179</t>
  </si>
  <si>
    <t>E</t>
  </si>
  <si>
    <t>'=SVERWEIS(($D$5/$C17);$D$40:$F$84;2)</t>
  </si>
  <si>
    <t>52-55184</t>
  </si>
  <si>
    <t>F</t>
  </si>
  <si>
    <t>'=SVERWEIS(($D$5/$C17);$D$40:$F$84;3)</t>
  </si>
  <si>
    <t>52-55189</t>
  </si>
  <si>
    <t>G</t>
  </si>
  <si>
    <t>'=SVERWEIS(($D$5/$C17);$D$40:$F$84;1)</t>
  </si>
  <si>
    <t>52-55194</t>
  </si>
  <si>
    <t>52-55200</t>
  </si>
  <si>
    <t>52-55206</t>
  </si>
  <si>
    <t>WENN(O23&lt;0;</t>
  </si>
  <si>
    <t>52-55213</t>
  </si>
  <si>
    <t>52-55220</t>
  </si>
  <si>
    <t>52-55227</t>
  </si>
  <si>
    <t>Art.-Nr. Gehäuse</t>
  </si>
  <si>
    <t>52-55235</t>
  </si>
  <si>
    <t xml:space="preserve">       49-9073-01</t>
  </si>
  <si>
    <t>52-55243</t>
  </si>
  <si>
    <t xml:space="preserve">       49-9083-01</t>
  </si>
  <si>
    <t>52-55251</t>
  </si>
  <si>
    <t xml:space="preserve">       49-9093-01</t>
  </si>
  <si>
    <t>52-55260</t>
  </si>
  <si>
    <t xml:space="preserve">       49-9103-01</t>
  </si>
  <si>
    <t>52-55269</t>
  </si>
  <si>
    <t xml:space="preserve">       49-9163-01</t>
  </si>
  <si>
    <t>52-55279</t>
  </si>
  <si>
    <t xml:space="preserve">       49-9113-01</t>
  </si>
  <si>
    <t>52-55287</t>
  </si>
  <si>
    <t xml:space="preserve">       49-9123-01</t>
  </si>
  <si>
    <t>52-55292</t>
  </si>
  <si>
    <t xml:space="preserve">       49-9133-01</t>
  </si>
  <si>
    <t>52-55298</t>
  </si>
  <si>
    <t xml:space="preserve">       49-9143-01</t>
  </si>
  <si>
    <t>52-55303</t>
  </si>
  <si>
    <t xml:space="preserve">       49-9153-01</t>
  </si>
  <si>
    <t>52-55308</t>
  </si>
  <si>
    <t xml:space="preserve">       49-9173-01</t>
  </si>
  <si>
    <t>52-66285</t>
  </si>
  <si>
    <t xml:space="preserve">       49-9183-01</t>
  </si>
  <si>
    <t>52-66292</t>
  </si>
  <si>
    <t xml:space="preserve">       49-9193-01</t>
  </si>
  <si>
    <t>52-66301</t>
  </si>
  <si>
    <t xml:space="preserve">       49-9203-01</t>
  </si>
  <si>
    <t>52-66305</t>
  </si>
  <si>
    <t xml:space="preserve">       49-9213-01</t>
  </si>
  <si>
    <t>52-66312</t>
  </si>
  <si>
    <t>52-66319</t>
  </si>
  <si>
    <t>52-66326</t>
  </si>
  <si>
    <t>52-66332</t>
  </si>
  <si>
    <t>52-66338</t>
  </si>
  <si>
    <t>52-66344</t>
  </si>
  <si>
    <t>52-66349</t>
  </si>
  <si>
    <t>52-66356</t>
  </si>
  <si>
    <t>52-66362</t>
  </si>
  <si>
    <t>52-66367</t>
  </si>
  <si>
    <t>52-66373</t>
  </si>
  <si>
    <t>52-66379</t>
  </si>
  <si>
    <t>52-66385</t>
  </si>
  <si>
    <t>52-66391</t>
  </si>
  <si>
    <t>52-66393</t>
  </si>
  <si>
    <t>52-66398</t>
  </si>
  <si>
    <t>52-66400</t>
  </si>
  <si>
    <t>52-66407</t>
  </si>
  <si>
    <t>52-66407H</t>
  </si>
  <si>
    <t>with selected Valve dimension (DN)</t>
  </si>
  <si>
    <t>Item no.</t>
  </si>
  <si>
    <t>Deviation</t>
  </si>
  <si>
    <t>Nearest higher Flow</t>
  </si>
  <si>
    <t>Nearest lower Flow</t>
  </si>
  <si>
    <t>Plugs</t>
  </si>
  <si>
    <t>ΔP range (kPa)</t>
  </si>
  <si>
    <t>Input DN =</t>
  </si>
  <si>
    <t>ALPHA Valve</t>
  </si>
  <si>
    <t>Valve</t>
  </si>
  <si>
    <t>range</t>
  </si>
  <si>
    <t>Cartridge Type HP (High Pressure)</t>
  </si>
  <si>
    <t>ΔP range:  13 - 600 kPa</t>
  </si>
  <si>
    <t>Dimension Valve house DN</t>
  </si>
  <si>
    <t>Item no. Valve house</t>
  </si>
  <si>
    <t>Qty</t>
  </si>
  <si>
    <t>CARTRIDGE SELECTION</t>
  </si>
  <si>
    <t>Cartriges</t>
  </si>
  <si>
    <t>Cartridges</t>
  </si>
  <si>
    <t>Dimension Valve house DN ; Kvs = 3,0</t>
  </si>
  <si>
    <t>EVA F/F</t>
  </si>
  <si>
    <t>Frese EVA with Plugs</t>
  </si>
  <si>
    <t>Frese EVA with P/T plugs</t>
  </si>
  <si>
    <t>Male/Male</t>
  </si>
  <si>
    <t>Actuator (NC)</t>
  </si>
  <si>
    <t>Cartridge</t>
  </si>
  <si>
    <t>total valve</t>
  </si>
  <si>
    <t>Drain Valve</t>
  </si>
  <si>
    <t>P/T-Plugs</t>
  </si>
  <si>
    <t>30-200</t>
  </si>
  <si>
    <t>65-370</t>
  </si>
  <si>
    <t>100-575</t>
  </si>
  <si>
    <t>160-990</t>
  </si>
  <si>
    <t>220-1330</t>
  </si>
  <si>
    <t>(m3/h) Flow</t>
  </si>
  <si>
    <t>Flow (m3/h)</t>
  </si>
  <si>
    <t>5-450</t>
  </si>
  <si>
    <t>20-450</t>
  </si>
  <si>
    <t>QUICK - CALC Frese PV Compact</t>
  </si>
  <si>
    <t>600-3609</t>
  </si>
  <si>
    <t>550-4001</t>
  </si>
  <si>
    <t>DN15 High 5,0</t>
  </si>
  <si>
    <t>Input dP =</t>
  </si>
  <si>
    <t>Flow cooling</t>
  </si>
  <si>
    <t>Flow heating</t>
  </si>
  <si>
    <t>(kPa) Differential pressure across valve</t>
  </si>
  <si>
    <t>Flow l/h</t>
  </si>
  <si>
    <t>Calculation cooling</t>
  </si>
  <si>
    <t>Calculation heating</t>
  </si>
  <si>
    <t>1370-9500</t>
  </si>
  <si>
    <t>1400-11500</t>
  </si>
  <si>
    <t>10-400</t>
  </si>
  <si>
    <t>DN25 20-80 kPa</t>
  </si>
  <si>
    <t>750-4200</t>
  </si>
  <si>
    <t>18.5-110.0</t>
  </si>
  <si>
    <t>23.0-135.0</t>
  </si>
  <si>
    <t>60-1080</t>
  </si>
  <si>
    <t>102-1930</t>
  </si>
  <si>
    <t>719-7400</t>
  </si>
  <si>
    <t>900-10350</t>
  </si>
  <si>
    <t>25.6-148.0</t>
  </si>
  <si>
    <t>32.0-195.0</t>
  </si>
  <si>
    <t>40-900</t>
  </si>
  <si>
    <t>86-1550</t>
  </si>
  <si>
    <t>200-5000</t>
  </si>
  <si>
    <t>9-400</t>
  </si>
  <si>
    <t>DN15 Low</t>
  </si>
  <si>
    <t>DN15 High</t>
  </si>
  <si>
    <t>DN20 Low</t>
  </si>
  <si>
    <t>DN20 High</t>
  </si>
  <si>
    <t>5000-11500</t>
  </si>
  <si>
    <t>DN20 High 5,5</t>
  </si>
  <si>
    <t>DN25 Low 5,5</t>
  </si>
  <si>
    <t>DN25L High 5,5</t>
  </si>
  <si>
    <t>300-1800</t>
  </si>
  <si>
    <t>280-1800</t>
  </si>
  <si>
    <t>DN25 Low</t>
  </si>
  <si>
    <t>DN25 High</t>
  </si>
  <si>
    <t>137-2400</t>
  </si>
  <si>
    <t>600-2100</t>
  </si>
  <si>
    <t>PV-SIGMA System</t>
  </si>
  <si>
    <t>∆P-PV (kPa)</t>
  </si>
  <si>
    <t>7-450</t>
  </si>
  <si>
    <t>22-450</t>
  </si>
  <si>
    <t>22-400</t>
  </si>
  <si>
    <t>DN20    20-60 kPa</t>
  </si>
  <si>
    <t>150-1930</t>
  </si>
  <si>
    <t>DN25    20-80kPa</t>
  </si>
  <si>
    <t>750-2400</t>
  </si>
  <si>
    <t>3000-7400</t>
  </si>
  <si>
    <t>X (min Kpa)</t>
  </si>
  <si>
    <t>Y (Flow/Omdr)</t>
  </si>
  <si>
    <t>Z (Omdr/kpa)</t>
  </si>
  <si>
    <t>PV Compact (Return)</t>
  </si>
  <si>
    <t>Pre-set PV Compact</t>
  </si>
  <si>
    <t>SIGMA Compact  (Supply)</t>
  </si>
  <si>
    <t>Pre-set SIGMA Compact</t>
  </si>
  <si>
    <t>Total pressure loss</t>
  </si>
  <si>
    <t>Dim.    ∆Ps Range</t>
  </si>
  <si>
    <t>PV Compact  ∆P - Controller</t>
  </si>
  <si>
    <t>SIGMA Compact Flow Controller</t>
  </si>
  <si>
    <t>PV-SIGMA Compact System ∆P &amp; Flow controller</t>
  </si>
  <si>
    <t>(kPa) Differential pressure in system</t>
  </si>
  <si>
    <t>(l/h) Design flow in system</t>
  </si>
  <si>
    <t>7-800</t>
  </si>
  <si>
    <t>19-800</t>
  </si>
  <si>
    <t>15-800</t>
  </si>
  <si>
    <t>30-800</t>
  </si>
  <si>
    <t>16-800</t>
  </si>
  <si>
    <t>23-800</t>
  </si>
  <si>
    <t>20-800</t>
  </si>
  <si>
    <t>27-800</t>
  </si>
  <si>
    <t>21-800</t>
  </si>
  <si>
    <t>33-800</t>
  </si>
  <si>
    <t>31-800</t>
  </si>
  <si>
    <t>11-800</t>
  </si>
  <si>
    <t>14-800</t>
  </si>
  <si>
    <t>18-800</t>
  </si>
  <si>
    <t>17-800</t>
  </si>
  <si>
    <t>10-800</t>
  </si>
  <si>
    <t>95.0-210.0</t>
  </si>
  <si>
    <t>130.0-280.0</t>
  </si>
  <si>
    <t>190.0-475.0</t>
  </si>
  <si>
    <t>245.0-600.0</t>
  </si>
  <si>
    <t>2.48-15.00</t>
  </si>
  <si>
    <t>3.92-24.00</t>
  </si>
  <si>
    <t>4.38-25.00</t>
  </si>
  <si>
    <t>5.95-35.00</t>
  </si>
  <si>
    <t>5.34-34.00</t>
  </si>
  <si>
    <t>7.02-43.00</t>
  </si>
  <si>
    <t>12.10-68.00</t>
  </si>
  <si>
    <t>14.80-90.00</t>
  </si>
  <si>
    <t>DN25L 5,5</t>
  </si>
  <si>
    <t>18-600</t>
  </si>
  <si>
    <t>16-600</t>
  </si>
  <si>
    <t>14-600</t>
  </si>
  <si>
    <t>DN 20 High 5,5</t>
  </si>
  <si>
    <t>OPTIMA Compact</t>
  </si>
  <si>
    <t>Total OPTIMIZER</t>
  </si>
  <si>
    <t>95-2000</t>
  </si>
  <si>
    <t>DN25L</t>
  </si>
  <si>
    <t>DN25L (53-2204 withdrawn)</t>
  </si>
  <si>
    <t>48-5525</t>
  </si>
  <si>
    <t>48-5526</t>
  </si>
  <si>
    <t>DN15</t>
  </si>
  <si>
    <t>210 - 1200</t>
  </si>
  <si>
    <t>460 - 4250</t>
  </si>
  <si>
    <t>4 - 400</t>
  </si>
  <si>
    <t>15 - 400</t>
  </si>
  <si>
    <t>Cooling</t>
  </si>
  <si>
    <t>Heating</t>
  </si>
  <si>
    <t>Calculation Pre-set</t>
  </si>
  <si>
    <t>Pre-set scale</t>
  </si>
  <si>
    <t>Modbus Value  = 10 x Preset scale</t>
  </si>
  <si>
    <t>Bacnet Value = 1 x Preset Scale</t>
  </si>
  <si>
    <t>Voltage preset
0-10V</t>
  </si>
  <si>
    <t>Current preset
4-20mA</t>
  </si>
  <si>
    <t>Analog Pre-set</t>
  </si>
  <si>
    <t>Evaluering Flow</t>
  </si>
  <si>
    <t>Calculation minimum diff. Pressure</t>
  </si>
  <si>
    <t>3,8 - 6120</t>
  </si>
  <si>
    <t>3,8 - 5040</t>
  </si>
  <si>
    <t>3,8 - 45</t>
  </si>
  <si>
    <t>3,8 - 90</t>
  </si>
  <si>
    <t>3,8 - 135</t>
  </si>
  <si>
    <t>3,8 - 180</t>
  </si>
  <si>
    <t>3,8 - 315</t>
  </si>
  <si>
    <t>3,8 - 540</t>
  </si>
  <si>
    <t>3,8 - 675</t>
  </si>
  <si>
    <t>3,8 - 855</t>
  </si>
  <si>
    <t>3,8 - 1170</t>
  </si>
  <si>
    <t>3,8 - 1485</t>
  </si>
  <si>
    <t>3,8 - 1800</t>
  </si>
  <si>
    <t>3,8 - 2520</t>
  </si>
  <si>
    <t>3,8 - 3825</t>
  </si>
  <si>
    <t xml:space="preserve">       49-9233-01</t>
  </si>
  <si>
    <t xml:space="preserve">       49-9223-01</t>
  </si>
  <si>
    <t>with selected Valve dimension</t>
  </si>
  <si>
    <t>DN50 Ultra 20-80 kPa</t>
  </si>
  <si>
    <t>DN50 Ultra</t>
  </si>
  <si>
    <t>3200-13000</t>
  </si>
  <si>
    <t>Flow/omdr</t>
  </si>
  <si>
    <t>DP/omdr</t>
  </si>
  <si>
    <t>Offset</t>
  </si>
  <si>
    <t>4.20-24.00</t>
  </si>
  <si>
    <t>DN20 High 4,0 *</t>
  </si>
  <si>
    <t>*) Not standard product</t>
  </si>
  <si>
    <t>Dimension &amp; Type</t>
  </si>
  <si>
    <t>DN50 Standard High Flow</t>
  </si>
  <si>
    <t>DN50 Standard Low Flow</t>
  </si>
  <si>
    <t>DN50 Ultra High Flow</t>
  </si>
  <si>
    <t>DN65 Ultra Low Flow</t>
  </si>
  <si>
    <t>DN65 Ultra High Flow</t>
  </si>
  <si>
    <t>DN80 Ultra Low Flow</t>
  </si>
  <si>
    <t>DN80 Ultra High Flow</t>
  </si>
  <si>
    <t>DN65 Standard Low Flow</t>
  </si>
  <si>
    <t>DN65 Standard High Flow</t>
  </si>
  <si>
    <t>DN80 Standard Low Flow</t>
  </si>
  <si>
    <t>DN80 Standard High Flow</t>
  </si>
  <si>
    <t>DN100 Ultra Low Flow</t>
  </si>
  <si>
    <t>DN100 Ultra High Flow</t>
  </si>
  <si>
    <t>DN100 Standard Low Flow</t>
  </si>
  <si>
    <t>DN100 Standard High Flow</t>
  </si>
  <si>
    <t>DN125 Ultra Low Flow</t>
  </si>
  <si>
    <t>DN125 Ultra High Flow</t>
  </si>
  <si>
    <t>DN125 Standard Low Flow</t>
  </si>
  <si>
    <t>DN125 Standard High Flow</t>
  </si>
  <si>
    <t>DN150 Standard Low Flow</t>
  </si>
  <si>
    <t>DN150 Standard High Flow</t>
  </si>
  <si>
    <t>DN200 Standard Low Flow</t>
  </si>
  <si>
    <t>DN200 Standard High Flow</t>
  </si>
  <si>
    <t>DN250 Standard Low Flow</t>
  </si>
  <si>
    <t>DN250 Standard High Flow</t>
  </si>
  <si>
    <t>DN300 Standard Low Flow</t>
  </si>
  <si>
    <t>DN300 Standard High Flow</t>
  </si>
  <si>
    <t>1.40-11.50</t>
  </si>
  <si>
    <t>1.40-11.5</t>
  </si>
  <si>
    <t>2.50-15.0</t>
  </si>
  <si>
    <t>3.90-24.0</t>
  </si>
  <si>
    <t>3.00-16.0</t>
  </si>
  <si>
    <t>4.20-24.0</t>
  </si>
  <si>
    <t>4.40-25.0</t>
  </si>
  <si>
    <t>6.00-35.0</t>
  </si>
  <si>
    <t>5.30-34.0</t>
  </si>
  <si>
    <t>7.00-43.0</t>
  </si>
  <si>
    <t>12.1-68.0</t>
  </si>
  <si>
    <t>14.8-90.0</t>
  </si>
  <si>
    <t>18.5-110</t>
  </si>
  <si>
    <t>23.0-135</t>
  </si>
  <si>
    <t>25.6-148</t>
  </si>
  <si>
    <t>32.0-195</t>
  </si>
  <si>
    <t>95.0-210</t>
  </si>
  <si>
    <t>130-280</t>
  </si>
  <si>
    <t>190-475</t>
  </si>
  <si>
    <t>245-600</t>
  </si>
  <si>
    <t>DN 15</t>
  </si>
  <si>
    <t>KV signal</t>
  </si>
  <si>
    <t>KV total</t>
  </si>
  <si>
    <t>Einstellung</t>
  </si>
  <si>
    <t>DN65</t>
  </si>
  <si>
    <t>DN80</t>
  </si>
  <si>
    <t>DN100</t>
  </si>
  <si>
    <t>DN125</t>
  </si>
  <si>
    <t>DN150</t>
  </si>
  <si>
    <t>DN200</t>
  </si>
  <si>
    <t>DN250</t>
  </si>
  <si>
    <t>DN300</t>
  </si>
  <si>
    <t>DN350</t>
  </si>
  <si>
    <t>DN400</t>
  </si>
  <si>
    <t>DN450</t>
  </si>
  <si>
    <t>DN500</t>
  </si>
  <si>
    <t>KV</t>
  </si>
  <si>
    <t>QUICK - CALC Frese STBV, VODRV</t>
  </si>
  <si>
    <t>Input Q:</t>
  </si>
  <si>
    <t>Measured diff. Pressure</t>
  </si>
  <si>
    <t xml:space="preserve">Kv Signal: (Required) </t>
  </si>
  <si>
    <t>(kPa) ∆P Signal (For flow measurement)</t>
  </si>
  <si>
    <t>KV signal 
(Fully open valve)</t>
  </si>
  <si>
    <t>KV 
Total valve</t>
  </si>
  <si>
    <t>Pressureloss (kPa)
Total valve
(For pump dimensioning)</t>
  </si>
  <si>
    <t>(kPa) Total valve</t>
  </si>
  <si>
    <t xml:space="preserve">Kv: (Required) </t>
  </si>
  <si>
    <t>KV 
(Fully open valve)</t>
  </si>
  <si>
    <t>QUICK - CALC Frese STBV, VODRV Flanged</t>
  </si>
  <si>
    <t>QUICK - CALC OPTIMA Compact &amp; OPTIMA Compact Veriflow</t>
  </si>
  <si>
    <t>Input Δps:</t>
  </si>
  <si>
    <t>(kPa) System pressure drop</t>
  </si>
  <si>
    <t>DN15/20, High 2,5mm</t>
  </si>
  <si>
    <t>DN15/20, High 4.0 mm</t>
  </si>
  <si>
    <t>DN15 Low 5.0 mm</t>
  </si>
  <si>
    <t>DN15/20, High 5.0 mm</t>
  </si>
  <si>
    <t>2,5 High</t>
  </si>
  <si>
    <t>System DP</t>
  </si>
  <si>
    <t>Preset</t>
  </si>
  <si>
    <t>Presetting</t>
  </si>
  <si>
    <t>Sprog</t>
  </si>
  <si>
    <t>NOT POSSIBLE</t>
  </si>
  <si>
    <t>Dansk</t>
  </si>
  <si>
    <t>IKKE MULIGT</t>
  </si>
  <si>
    <t xml:space="preserve">Tysk </t>
  </si>
  <si>
    <t>NICHT MÖGLICH</t>
  </si>
  <si>
    <t>Engelsk</t>
  </si>
  <si>
    <t>4,0 High</t>
  </si>
  <si>
    <t>5,0 Low</t>
  </si>
  <si>
    <t>5,0 High</t>
  </si>
  <si>
    <t>QUICK - CONTROL OPTIMA Compact Veriflow</t>
  </si>
  <si>
    <t>Flow Commissioning program</t>
  </si>
  <si>
    <t>∆P  measured =</t>
  </si>
  <si>
    <t>kPa (PT plug in position Q)</t>
  </si>
  <si>
    <t>Pre-set =</t>
  </si>
  <si>
    <t>Verification</t>
  </si>
  <si>
    <t>Veriflow Low 2,5 DN10/15</t>
  </si>
  <si>
    <t>Veriflow Low 5,0 DN10/15</t>
  </si>
  <si>
    <t>Veriflow High 2,5 DN15/20</t>
  </si>
  <si>
    <t>Veriflow High 5,0 DN15/20</t>
  </si>
  <si>
    <t>Veriflow High 5,5 DN20</t>
  </si>
  <si>
    <t>Veriflow Low 5,5 DN25</t>
  </si>
  <si>
    <t>Veriflow High 5,5 DN25L</t>
  </si>
  <si>
    <t>Veriflow DN32</t>
  </si>
  <si>
    <t>Veriflow DN40</t>
  </si>
  <si>
    <t>Veriflow DN50</t>
  </si>
  <si>
    <t>OPTIMA Veriflow Standard DN300 HF</t>
  </si>
  <si>
    <t>OPTIMA Veriflow Standard DN300 LF</t>
  </si>
  <si>
    <t>OPTIMA Veriflow Standard DN250 HF</t>
  </si>
  <si>
    <t>OPTIMA Veriflow Standard DN250 LF</t>
  </si>
  <si>
    <t>OPTIMA Veriflow Standard DN200 HF</t>
  </si>
  <si>
    <t>OPTIMA Veriflow Standard DN200 LF</t>
  </si>
  <si>
    <t>OPTIMA Veriflow Standard DN150 HF</t>
  </si>
  <si>
    <t>OPTIMA Veriflow Standard DN150 LF</t>
  </si>
  <si>
    <t>OPTIMA Veriflow Standard DN125 HF</t>
  </si>
  <si>
    <t>OPTIMA Veriflow Standard DN125 LF</t>
  </si>
  <si>
    <t>OPTIMA Veriflow Ultra DN125 HF</t>
  </si>
  <si>
    <t>OPTIMA Veriflow Ultra DN125 LF</t>
  </si>
  <si>
    <t>OPTIMA Veriflow Standard DN100 HF</t>
  </si>
  <si>
    <t>OPTIMA Veriflow Standard DN100 LF</t>
  </si>
  <si>
    <t>OPTIMA Veriflow Ultra DN100 HF</t>
  </si>
  <si>
    <t>OPTIMA Veriflow Ultra DN100 LF</t>
  </si>
  <si>
    <t>OPTIMA Veriflow Standard DN80 HF</t>
  </si>
  <si>
    <t>OPTIMA Veriflow Standard DN80 LF</t>
  </si>
  <si>
    <t>OPTIMA Veriflow Ultra DN80 HF</t>
  </si>
  <si>
    <t>OPTIMA Veriflow Ultra DN80 LF</t>
  </si>
  <si>
    <t>OPTIMA Veriflow Standard DN65 HF</t>
  </si>
  <si>
    <t>OPTIMA Veriflow Standard DN65 LF</t>
  </si>
  <si>
    <t>OPTIMA Veriflow Ultra DN65 HF</t>
  </si>
  <si>
    <t>OPTIMA Veriflow Ultra DN65 LF</t>
  </si>
  <si>
    <t>OPTIMA Veriflow Standard DN50 HF</t>
  </si>
  <si>
    <t>OPTIMA Veriflow Standard DN50 LF</t>
  </si>
  <si>
    <t>OPTIMA Veriflow Ultra DN50 HF</t>
  </si>
  <si>
    <r>
      <t>Flow (m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/h)</t>
    </r>
  </si>
  <si>
    <t>kPa (Use PT plugs P1 &amp; P2)</t>
  </si>
  <si>
    <t>QUICK - CONTROL OPTIMA Compact Veriflow Flanged</t>
  </si>
  <si>
    <t>QUICK - CONTROL Frese STBV, VODRV</t>
  </si>
  <si>
    <t>(kPa) KV signal (For flow measurement)</t>
  </si>
  <si>
    <t>Verification
Flow (l/h)</t>
  </si>
  <si>
    <t>QUICK - CONTROL Frese STBV, VODRV Flanged</t>
  </si>
  <si>
    <r>
      <t>Verification
Flow (m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/h)</t>
    </r>
  </si>
  <si>
    <t>Setting &amp; Selection program</t>
  </si>
  <si>
    <t>QUICK - CALC SIGMA Compact</t>
  </si>
  <si>
    <t>QUICK - CALC SIGMA Compact Flanged</t>
  </si>
  <si>
    <t>QUICK - CALC PV-SIGMA Compact</t>
  </si>
  <si>
    <t xml:space="preserve">  Setting &amp; Selection program</t>
  </si>
  <si>
    <t>QUICK - CALC OPTIMA P Compact</t>
  </si>
  <si>
    <t>Selection program</t>
  </si>
  <si>
    <t>QUICK - CALC Frese ALPHA Wafer</t>
  </si>
  <si>
    <t>QUICK - CALC COMBIFLOW 6-Way</t>
  </si>
  <si>
    <t>QUICK - CALC OPTIMIZER 6-Way</t>
  </si>
  <si>
    <t>30 - 830</t>
  </si>
  <si>
    <t>Køling</t>
  </si>
  <si>
    <t>Varme</t>
  </si>
  <si>
    <t>Vinkel køling</t>
  </si>
  <si>
    <t>Vinkel varme</t>
  </si>
  <si>
    <t>Minimum DP</t>
  </si>
  <si>
    <t>Total pumpe DP</t>
  </si>
  <si>
    <t>Calculation total pressure loss</t>
  </si>
  <si>
    <t>Total ∆P (kPa)</t>
  </si>
  <si>
    <t>Current</t>
  </si>
  <si>
    <t>Voltage</t>
  </si>
  <si>
    <t>DN15 LOW</t>
  </si>
  <si>
    <t>Best Match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</si>
</sst>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_(* #,##0.00_);_(* \(#,##0.00\);_(* &quot;-&quot;??_);_(@_)"/>
    <numFmt numFmtId="166" formatCode="0.0"/>
    <numFmt numFmtId="167" formatCode="0.0%"/>
    <numFmt numFmtId="168" formatCode="#,##0.0"/>
    <numFmt numFmtId="169" formatCode="0.000"/>
    <numFmt numFmtId="170" formatCode="0.00000"/>
  </numFmts>
  <fonts count="4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sz val="2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17"/>
      <name val="Arial"/>
      <family val="2"/>
    </font>
    <font>
      <sz val="10"/>
      <color indexed="57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4"/>
      <color indexed="10"/>
      <name val="Arial"/>
      <family val="2"/>
    </font>
    <font>
      <b/>
      <sz val="11"/>
      <name val="Arial"/>
      <family val="2"/>
    </font>
    <font>
      <b/>
      <sz val="20"/>
      <color indexed="8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11"/>
      <color theme="1"/>
      <name val="Arial"/>
      <family val="2"/>
    </font>
    <font>
      <sz val="10"/>
      <name val="Calibri"/>
      <family val="2"/>
    </font>
    <font>
      <b/>
      <sz val="10"/>
      <color theme="1"/>
      <name val="Calibri"/>
      <family val="2"/>
      <scheme val="minor"/>
    </font>
    <font>
      <b/>
      <vertAlign val="superscript"/>
      <sz val="1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22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/>
      <top style="thin">
        <color auto="1"/>
      </top>
      <bottom style="thick">
        <color indexed="64"/>
      </bottom>
      <diagonal/>
    </border>
    <border>
      <left/>
      <right/>
      <top style="thin">
        <color auto="1"/>
      </top>
      <bottom style="thick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/>
      <top style="thin">
        <color auto="1"/>
      </top>
      <bottom style="thick">
        <color indexed="64"/>
      </bottom>
      <diagonal/>
    </border>
    <border>
      <left/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48">
    <xf numFmtId="0" fontId="0" fillId="0" borderId="0"/>
    <xf numFmtId="164" fontId="26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21" fillId="20" borderId="1" applyNumberFormat="0" applyAlignment="0" applyProtection="0"/>
    <xf numFmtId="0" fontId="22" fillId="20" borderId="3" applyNumberFormat="0" applyAlignment="0" applyProtection="0"/>
    <xf numFmtId="0" fontId="20" fillId="7" borderId="3" applyNumberFormat="0" applyAlignment="0" applyProtection="0"/>
    <xf numFmtId="0" fontId="28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18" fillId="4" borderId="0" applyNumberFormat="0" applyBorder="0" applyAlignment="0" applyProtection="0"/>
    <xf numFmtId="165" fontId="1" fillId="0" borderId="0" applyFont="0" applyFill="0" applyBorder="0" applyAlignment="0" applyProtection="0"/>
    <xf numFmtId="0" fontId="8" fillId="21" borderId="2" applyNumberFormat="0" applyFont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3" borderId="0" applyNumberFormat="0" applyBorder="0" applyAlignment="0" applyProtection="0"/>
    <xf numFmtId="0" fontId="23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24" fillId="22" borderId="5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165">
    <xf numFmtId="0" fontId="0" fillId="0" borderId="0" xfId="0"/>
    <xf numFmtId="1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3" fillId="0" borderId="0" xfId="0" applyFont="1"/>
    <xf numFmtId="0" fontId="0" fillId="23" borderId="0" xfId="0" applyFill="1"/>
    <xf numFmtId="0" fontId="6" fillId="23" borderId="0" xfId="0" applyFont="1" applyFill="1"/>
    <xf numFmtId="2" fontId="7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left" vertical="center"/>
    </xf>
    <xf numFmtId="0" fontId="0" fillId="0" borderId="17" xfId="0" applyBorder="1"/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9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2" fillId="0" borderId="0" xfId="0" applyFont="1"/>
    <xf numFmtId="0" fontId="2" fillId="23" borderId="0" xfId="0" applyFont="1" applyFill="1"/>
    <xf numFmtId="166" fontId="0" fillId="0" borderId="0" xfId="0" applyNumberFormat="1" applyAlignment="1">
      <alignment horizontal="center"/>
    </xf>
    <xf numFmtId="166" fontId="0" fillId="23" borderId="0" xfId="0" applyNumberFormat="1" applyFill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2" fillId="0" borderId="23" xfId="0" applyFont="1" applyBorder="1"/>
    <xf numFmtId="0" fontId="2" fillId="24" borderId="0" xfId="0" applyFont="1" applyFill="1" applyAlignment="1" applyProtection="1">
      <alignment horizontal="center"/>
      <protection locked="0"/>
    </xf>
    <xf numFmtId="0" fontId="2" fillId="0" borderId="14" xfId="0" applyFont="1" applyBorder="1"/>
    <xf numFmtId="166" fontId="2" fillId="25" borderId="10" xfId="0" applyNumberFormat="1" applyFont="1" applyFill="1" applyBorder="1" applyAlignment="1">
      <alignment horizontal="center"/>
    </xf>
    <xf numFmtId="0" fontId="2" fillId="26" borderId="15" xfId="0" applyFont="1" applyFill="1" applyBorder="1" applyAlignment="1">
      <alignment horizontal="center"/>
    </xf>
    <xf numFmtId="166" fontId="2" fillId="25" borderId="17" xfId="0" applyNumberFormat="1" applyFont="1" applyFill="1" applyBorder="1" applyAlignment="1">
      <alignment horizontal="center"/>
    </xf>
    <xf numFmtId="3" fontId="1" fillId="0" borderId="10" xfId="32" applyNumberFormat="1" applyBorder="1" applyAlignment="1">
      <alignment horizontal="center" vertical="center"/>
    </xf>
    <xf numFmtId="2" fontId="7" fillId="0" borderId="17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1" fontId="9" fillId="0" borderId="10" xfId="0" applyNumberFormat="1" applyFont="1" applyBorder="1" applyAlignment="1">
      <alignment horizontal="center" vertical="center"/>
    </xf>
    <xf numFmtId="2" fontId="9" fillId="0" borderId="10" xfId="0" applyNumberFormat="1" applyFont="1" applyBorder="1" applyAlignment="1">
      <alignment horizontal="center" vertical="center"/>
    </xf>
    <xf numFmtId="1" fontId="9" fillId="0" borderId="17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1" fontId="9" fillId="0" borderId="10" xfId="0" applyNumberFormat="1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2" fillId="0" borderId="20" xfId="0" applyFont="1" applyBorder="1"/>
    <xf numFmtId="0" fontId="2" fillId="0" borderId="27" xfId="0" applyFont="1" applyBorder="1"/>
    <xf numFmtId="0" fontId="2" fillId="0" borderId="29" xfId="0" applyFont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2" fillId="27" borderId="31" xfId="0" applyFont="1" applyFill="1" applyBorder="1" applyAlignment="1">
      <alignment horizontal="center"/>
    </xf>
    <xf numFmtId="0" fontId="2" fillId="25" borderId="30" xfId="0" applyFont="1" applyFill="1" applyBorder="1" applyAlignment="1">
      <alignment horizontal="center"/>
    </xf>
    <xf numFmtId="0" fontId="2" fillId="26" borderId="32" xfId="0" applyFont="1" applyFill="1" applyBorder="1" applyAlignment="1">
      <alignment horizontal="center"/>
    </xf>
    <xf numFmtId="166" fontId="2" fillId="0" borderId="0" xfId="0" applyNumberFormat="1" applyFont="1" applyAlignment="1">
      <alignment horizontal="center"/>
    </xf>
    <xf numFmtId="1" fontId="10" fillId="0" borderId="10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2" fontId="11" fillId="0" borderId="10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1" fontId="10" fillId="0" borderId="17" xfId="0" applyNumberFormat="1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2" fillId="27" borderId="39" xfId="0" applyFont="1" applyFill="1" applyBorder="1" applyAlignment="1">
      <alignment horizontal="center"/>
    </xf>
    <xf numFmtId="0" fontId="2" fillId="25" borderId="38" xfId="0" applyFont="1" applyFill="1" applyBorder="1" applyAlignment="1">
      <alignment horizontal="center"/>
    </xf>
    <xf numFmtId="0" fontId="2" fillId="26" borderId="40" xfId="0" applyFont="1" applyFill="1" applyBorder="1" applyAlignment="1">
      <alignment horizontal="center"/>
    </xf>
    <xf numFmtId="0" fontId="2" fillId="25" borderId="0" xfId="0" applyFont="1" applyFill="1"/>
    <xf numFmtId="0" fontId="2" fillId="27" borderId="14" xfId="0" applyFont="1" applyFill="1" applyBorder="1"/>
    <xf numFmtId="0" fontId="2" fillId="25" borderId="10" xfId="0" applyFont="1" applyFill="1" applyBorder="1" applyAlignment="1">
      <alignment horizontal="center"/>
    </xf>
    <xf numFmtId="0" fontId="2" fillId="27" borderId="16" xfId="0" applyFont="1" applyFill="1" applyBorder="1"/>
    <xf numFmtId="0" fontId="12" fillId="0" borderId="23" xfId="0" applyFont="1" applyBorder="1"/>
    <xf numFmtId="0" fontId="2" fillId="25" borderId="10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/>
    </xf>
    <xf numFmtId="0" fontId="2" fillId="0" borderId="45" xfId="0" applyFont="1" applyBorder="1"/>
    <xf numFmtId="0" fontId="2" fillId="0" borderId="46" xfId="0" applyFont="1" applyBorder="1"/>
    <xf numFmtId="0" fontId="2" fillId="26" borderId="17" xfId="0" applyFont="1" applyFill="1" applyBorder="1" applyAlignment="1">
      <alignment horizontal="center"/>
    </xf>
    <xf numFmtId="0" fontId="2" fillId="26" borderId="18" xfId="0" applyFont="1" applyFill="1" applyBorder="1" applyAlignment="1">
      <alignment horizontal="center"/>
    </xf>
    <xf numFmtId="0" fontId="0" fillId="29" borderId="14" xfId="0" applyFill="1" applyBorder="1" applyAlignment="1">
      <alignment horizontal="left" vertical="center"/>
    </xf>
    <xf numFmtId="2" fontId="7" fillId="29" borderId="10" xfId="0" applyNumberFormat="1" applyFont="1" applyFill="1" applyBorder="1" applyAlignment="1">
      <alignment horizontal="center" vertical="center"/>
    </xf>
    <xf numFmtId="1" fontId="9" fillId="29" borderId="10" xfId="0" applyNumberFormat="1" applyFont="1" applyFill="1" applyBorder="1" applyAlignment="1">
      <alignment horizontal="center" vertical="center"/>
    </xf>
    <xf numFmtId="2" fontId="9" fillId="29" borderId="10" xfId="0" applyNumberFormat="1" applyFont="1" applyFill="1" applyBorder="1" applyAlignment="1">
      <alignment horizontal="center" vertical="center"/>
    </xf>
    <xf numFmtId="2" fontId="0" fillId="29" borderId="10" xfId="0" applyNumberFormat="1" applyFill="1" applyBorder="1" applyAlignment="1">
      <alignment horizontal="center" vertical="center"/>
    </xf>
    <xf numFmtId="3" fontId="1" fillId="29" borderId="10" xfId="32" applyNumberFormat="1" applyFill="1" applyBorder="1" applyAlignment="1">
      <alignment horizontal="center" vertical="center"/>
    </xf>
    <xf numFmtId="1" fontId="0" fillId="29" borderId="10" xfId="0" applyNumberFormat="1" applyFill="1" applyBorder="1" applyAlignment="1">
      <alignment horizontal="center" vertical="center"/>
    </xf>
    <xf numFmtId="0" fontId="0" fillId="29" borderId="10" xfId="0" applyFill="1" applyBorder="1" applyAlignment="1">
      <alignment horizontal="center"/>
    </xf>
    <xf numFmtId="0" fontId="0" fillId="29" borderId="15" xfId="0" applyFill="1" applyBorder="1" applyAlignment="1">
      <alignment horizontal="center"/>
    </xf>
    <xf numFmtId="2" fontId="0" fillId="0" borderId="10" xfId="0" applyNumberFormat="1" applyBorder="1" applyAlignment="1">
      <alignment horizontal="center" vertical="center"/>
    </xf>
    <xf numFmtId="2" fontId="10" fillId="0" borderId="10" xfId="0" applyNumberFormat="1" applyFont="1" applyBorder="1" applyAlignment="1">
      <alignment horizontal="center" vertical="center"/>
    </xf>
    <xf numFmtId="1" fontId="9" fillId="29" borderId="10" xfId="0" applyNumberFormat="1" applyFont="1" applyFill="1" applyBorder="1" applyAlignment="1">
      <alignment horizontal="center"/>
    </xf>
    <xf numFmtId="0" fontId="9" fillId="29" borderId="10" xfId="0" applyFont="1" applyFill="1" applyBorder="1" applyAlignment="1">
      <alignment horizontal="center"/>
    </xf>
    <xf numFmtId="0" fontId="0" fillId="29" borderId="10" xfId="0" applyFill="1" applyBorder="1"/>
    <xf numFmtId="0" fontId="0" fillId="29" borderId="16" xfId="0" applyFill="1" applyBorder="1" applyAlignment="1">
      <alignment horizontal="left" vertical="center"/>
    </xf>
    <xf numFmtId="1" fontId="9" fillId="29" borderId="17" xfId="0" applyNumberFormat="1" applyFont="1" applyFill="1" applyBorder="1" applyAlignment="1">
      <alignment horizontal="center"/>
    </xf>
    <xf numFmtId="0" fontId="9" fillId="29" borderId="17" xfId="0" applyFont="1" applyFill="1" applyBorder="1" applyAlignment="1">
      <alignment horizontal="center"/>
    </xf>
    <xf numFmtId="0" fontId="0" fillId="29" borderId="17" xfId="0" applyFill="1" applyBorder="1" applyAlignment="1">
      <alignment horizontal="center"/>
    </xf>
    <xf numFmtId="0" fontId="0" fillId="29" borderId="17" xfId="0" applyFill="1" applyBorder="1"/>
    <xf numFmtId="0" fontId="0" fillId="29" borderId="18" xfId="0" applyFill="1" applyBorder="1" applyAlignment="1">
      <alignment horizontal="center"/>
    </xf>
    <xf numFmtId="0" fontId="0" fillId="0" borderId="0" xfId="0" applyAlignment="1">
      <alignment horizontal="center"/>
    </xf>
    <xf numFmtId="0" fontId="2" fillId="25" borderId="47" xfId="0" applyFont="1" applyFill="1" applyBorder="1"/>
    <xf numFmtId="0" fontId="2" fillId="26" borderId="48" xfId="0" applyFont="1" applyFill="1" applyBorder="1" applyAlignment="1">
      <alignment horizontal="center"/>
    </xf>
    <xf numFmtId="0" fontId="2" fillId="26" borderId="49" xfId="0" applyFont="1" applyFill="1" applyBorder="1" applyAlignment="1">
      <alignment horizontal="center"/>
    </xf>
    <xf numFmtId="0" fontId="2" fillId="25" borderId="50" xfId="0" applyFont="1" applyFill="1" applyBorder="1"/>
    <xf numFmtId="0" fontId="2" fillId="25" borderId="51" xfId="0" applyFont="1" applyFill="1" applyBorder="1" applyAlignment="1">
      <alignment horizontal="center"/>
    </xf>
    <xf numFmtId="0" fontId="2" fillId="26" borderId="52" xfId="0" applyFont="1" applyFill="1" applyBorder="1" applyAlignment="1">
      <alignment horizontal="center"/>
    </xf>
    <xf numFmtId="0" fontId="2" fillId="25" borderId="50" xfId="0" applyFont="1" applyFill="1" applyBorder="1" applyAlignment="1">
      <alignment horizontal="left" vertical="center"/>
    </xf>
    <xf numFmtId="166" fontId="2" fillId="25" borderId="51" xfId="0" applyNumberFormat="1" applyFont="1" applyFill="1" applyBorder="1" applyAlignment="1">
      <alignment horizontal="center"/>
    </xf>
    <xf numFmtId="0" fontId="2" fillId="25" borderId="54" xfId="0" applyFont="1" applyFill="1" applyBorder="1" applyAlignment="1">
      <alignment horizontal="left" vertical="center"/>
    </xf>
    <xf numFmtId="166" fontId="2" fillId="25" borderId="55" xfId="0" applyNumberFormat="1" applyFont="1" applyFill="1" applyBorder="1" applyAlignment="1">
      <alignment horizontal="center"/>
    </xf>
    <xf numFmtId="0" fontId="2" fillId="27" borderId="10" xfId="0" applyFont="1" applyFill="1" applyBorder="1" applyAlignment="1">
      <alignment horizontal="center"/>
    </xf>
    <xf numFmtId="0" fontId="2" fillId="27" borderId="51" xfId="0" applyFont="1" applyFill="1" applyBorder="1" applyAlignment="1">
      <alignment horizontal="center" vertical="center" wrapText="1"/>
    </xf>
    <xf numFmtId="0" fontId="2" fillId="25" borderId="27" xfId="0" applyFont="1" applyFill="1" applyBorder="1" applyAlignment="1">
      <alignment horizontal="center"/>
    </xf>
    <xf numFmtId="0" fontId="2" fillId="25" borderId="33" xfId="0" applyFont="1" applyFill="1" applyBorder="1" applyAlignment="1">
      <alignment horizontal="center" vertical="center" wrapText="1"/>
    </xf>
    <xf numFmtId="0" fontId="13" fillId="26" borderId="50" xfId="0" applyFont="1" applyFill="1" applyBorder="1" applyAlignment="1">
      <alignment horizontal="center" vertical="center" wrapText="1"/>
    </xf>
    <xf numFmtId="49" fontId="2" fillId="27" borderId="51" xfId="0" applyNumberFormat="1" applyFont="1" applyFill="1" applyBorder="1" applyAlignment="1">
      <alignment horizontal="center"/>
    </xf>
    <xf numFmtId="0" fontId="2" fillId="25" borderId="33" xfId="0" applyFont="1" applyFill="1" applyBorder="1" applyAlignment="1">
      <alignment horizontal="center"/>
    </xf>
    <xf numFmtId="49" fontId="2" fillId="26" borderId="50" xfId="0" applyNumberFormat="1" applyFont="1" applyFill="1" applyBorder="1" applyAlignment="1">
      <alignment horizontal="center"/>
    </xf>
    <xf numFmtId="0" fontId="2" fillId="27" borderId="17" xfId="0" applyFont="1" applyFill="1" applyBorder="1" applyAlignment="1">
      <alignment horizontal="center"/>
    </xf>
    <xf numFmtId="49" fontId="2" fillId="27" borderId="55" xfId="0" applyNumberFormat="1" applyFont="1" applyFill="1" applyBorder="1" applyAlignment="1">
      <alignment horizontal="center"/>
    </xf>
    <xf numFmtId="0" fontId="2" fillId="25" borderId="28" xfId="0" applyFont="1" applyFill="1" applyBorder="1" applyAlignment="1">
      <alignment horizontal="center"/>
    </xf>
    <xf numFmtId="0" fontId="2" fillId="25" borderId="53" xfId="0" applyFont="1" applyFill="1" applyBorder="1" applyAlignment="1">
      <alignment horizontal="center"/>
    </xf>
    <xf numFmtId="49" fontId="2" fillId="26" borderId="54" xfId="0" applyNumberFormat="1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left"/>
    </xf>
    <xf numFmtId="0" fontId="0" fillId="0" borderId="57" xfId="0" applyBorder="1"/>
    <xf numFmtId="0" fontId="0" fillId="0" borderId="37" xfId="0" applyBorder="1"/>
    <xf numFmtId="0" fontId="31" fillId="0" borderId="0" xfId="0" applyFont="1" applyAlignment="1">
      <alignment horizontal="center"/>
    </xf>
    <xf numFmtId="0" fontId="0" fillId="0" borderId="47" xfId="0" applyBorder="1"/>
    <xf numFmtId="0" fontId="31" fillId="0" borderId="58" xfId="0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/>
    <xf numFmtId="3" fontId="2" fillId="0" borderId="47" xfId="0" applyNumberFormat="1" applyFont="1" applyBorder="1" applyAlignment="1">
      <alignment horizontal="center"/>
    </xf>
    <xf numFmtId="3" fontId="2" fillId="27" borderId="59" xfId="0" applyNumberFormat="1" applyFont="1" applyFill="1" applyBorder="1" applyAlignment="1">
      <alignment horizontal="center"/>
    </xf>
    <xf numFmtId="3" fontId="2" fillId="27" borderId="38" xfId="0" applyNumberFormat="1" applyFont="1" applyFill="1" applyBorder="1" applyAlignment="1">
      <alignment horizontal="center"/>
    </xf>
    <xf numFmtId="3" fontId="2" fillId="26" borderId="38" xfId="0" applyNumberFormat="1" applyFont="1" applyFill="1" applyBorder="1" applyAlignment="1">
      <alignment horizontal="center"/>
    </xf>
    <xf numFmtId="3" fontId="2" fillId="24" borderId="60" xfId="0" applyNumberFormat="1" applyFont="1" applyFill="1" applyBorder="1" applyAlignment="1">
      <alignment horizontal="center"/>
    </xf>
    <xf numFmtId="3" fontId="2" fillId="24" borderId="60" xfId="0" quotePrefix="1" applyNumberFormat="1" applyFont="1" applyFill="1" applyBorder="1" applyAlignment="1">
      <alignment horizontal="center"/>
    </xf>
    <xf numFmtId="3" fontId="2" fillId="27" borderId="51" xfId="0" applyNumberFormat="1" applyFont="1" applyFill="1" applyBorder="1" applyAlignment="1">
      <alignment horizontal="center"/>
    </xf>
    <xf numFmtId="3" fontId="2" fillId="27" borderId="10" xfId="0" applyNumberFormat="1" applyFont="1" applyFill="1" applyBorder="1" applyAlignment="1">
      <alignment horizontal="center"/>
    </xf>
    <xf numFmtId="3" fontId="2" fillId="26" borderId="10" xfId="0" applyNumberFormat="1" applyFont="1" applyFill="1" applyBorder="1" applyAlignment="1">
      <alignment horizontal="center"/>
    </xf>
    <xf numFmtId="3" fontId="2" fillId="24" borderId="50" xfId="0" applyNumberFormat="1" applyFont="1" applyFill="1" applyBorder="1" applyAlignment="1">
      <alignment horizontal="center"/>
    </xf>
    <xf numFmtId="0" fontId="2" fillId="27" borderId="51" xfId="0" applyFont="1" applyFill="1" applyBorder="1" applyAlignment="1">
      <alignment horizontal="center"/>
    </xf>
    <xf numFmtId="0" fontId="2" fillId="24" borderId="50" xfId="0" applyFont="1" applyFill="1" applyBorder="1" applyAlignment="1">
      <alignment horizontal="center"/>
    </xf>
    <xf numFmtId="0" fontId="0" fillId="0" borderId="58" xfId="0" applyBorder="1"/>
    <xf numFmtId="0" fontId="31" fillId="26" borderId="10" xfId="0" applyFont="1" applyFill="1" applyBorder="1" applyAlignment="1">
      <alignment horizontal="center"/>
    </xf>
    <xf numFmtId="0" fontId="31" fillId="24" borderId="50" xfId="0" applyFont="1" applyFill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0" fillId="0" borderId="38" xfId="0" applyBorder="1"/>
    <xf numFmtId="0" fontId="0" fillId="0" borderId="60" xfId="0" applyBorder="1"/>
    <xf numFmtId="0" fontId="0" fillId="0" borderId="50" xfId="0" applyBorder="1"/>
    <xf numFmtId="0" fontId="0" fillId="0" borderId="33" xfId="0" applyBorder="1"/>
    <xf numFmtId="0" fontId="8" fillId="0" borderId="60" xfId="0" applyFont="1" applyBorder="1" applyAlignment="1">
      <alignment horizontal="center"/>
    </xf>
    <xf numFmtId="0" fontId="8" fillId="0" borderId="50" xfId="0" applyFont="1" applyBorder="1" applyAlignment="1">
      <alignment horizontal="center"/>
    </xf>
    <xf numFmtId="0" fontId="2" fillId="0" borderId="58" xfId="0" applyFont="1" applyBorder="1"/>
    <xf numFmtId="0" fontId="8" fillId="0" borderId="58" xfId="0" applyFont="1" applyBorder="1"/>
    <xf numFmtId="0" fontId="8" fillId="0" borderId="50" xfId="0" quotePrefix="1" applyFont="1" applyBorder="1" applyAlignment="1">
      <alignment horizontal="center"/>
    </xf>
    <xf numFmtId="0" fontId="8" fillId="0" borderId="10" xfId="0" quotePrefix="1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0" fillId="0" borderId="10" xfId="0" applyBorder="1" applyAlignment="1">
      <alignment horizontal="right"/>
    </xf>
    <xf numFmtId="0" fontId="0" fillId="0" borderId="33" xfId="0" applyBorder="1" applyAlignment="1">
      <alignment horizontal="center"/>
    </xf>
    <xf numFmtId="0" fontId="0" fillId="0" borderId="44" xfId="0" applyBorder="1" applyAlignment="1">
      <alignment horizontal="center"/>
    </xf>
    <xf numFmtId="0" fontId="8" fillId="0" borderId="0" xfId="0" applyFont="1"/>
    <xf numFmtId="0" fontId="2" fillId="24" borderId="59" xfId="0" applyFont="1" applyFill="1" applyBorder="1" applyAlignment="1">
      <alignment horizontal="center"/>
    </xf>
    <xf numFmtId="0" fontId="2" fillId="24" borderId="38" xfId="0" applyFont="1" applyFill="1" applyBorder="1" applyAlignment="1">
      <alignment horizontal="center"/>
    </xf>
    <xf numFmtId="0" fontId="2" fillId="24" borderId="60" xfId="0" applyFont="1" applyFill="1" applyBorder="1" applyAlignment="1">
      <alignment horizontal="center"/>
    </xf>
    <xf numFmtId="0" fontId="2" fillId="30" borderId="59" xfId="0" applyFont="1" applyFill="1" applyBorder="1" applyAlignment="1">
      <alignment horizontal="center"/>
    </xf>
    <xf numFmtId="0" fontId="2" fillId="30" borderId="38" xfId="0" applyFont="1" applyFill="1" applyBorder="1" applyAlignment="1">
      <alignment horizontal="center"/>
    </xf>
    <xf numFmtId="0" fontId="2" fillId="31" borderId="38" xfId="0" applyFont="1" applyFill="1" applyBorder="1" applyAlignment="1">
      <alignment horizontal="center"/>
    </xf>
    <xf numFmtId="0" fontId="2" fillId="31" borderId="60" xfId="0" applyFont="1" applyFill="1" applyBorder="1" applyAlignment="1">
      <alignment horizontal="center"/>
    </xf>
    <xf numFmtId="3" fontId="2" fillId="0" borderId="59" xfId="0" applyNumberFormat="1" applyFont="1" applyBorder="1" applyAlignment="1">
      <alignment horizontal="center"/>
    </xf>
    <xf numFmtId="3" fontId="2" fillId="0" borderId="60" xfId="0" applyNumberFormat="1" applyFont="1" applyBorder="1" applyAlignment="1">
      <alignment horizontal="center"/>
    </xf>
    <xf numFmtId="0" fontId="2" fillId="0" borderId="62" xfId="0" applyFont="1" applyBorder="1"/>
    <xf numFmtId="0" fontId="2" fillId="24" borderId="51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/>
    </xf>
    <xf numFmtId="0" fontId="2" fillId="30" borderId="51" xfId="0" applyFont="1" applyFill="1" applyBorder="1" applyAlignment="1">
      <alignment horizontal="center"/>
    </xf>
    <xf numFmtId="0" fontId="2" fillId="30" borderId="10" xfId="0" applyFont="1" applyFill="1" applyBorder="1" applyAlignment="1">
      <alignment horizontal="center"/>
    </xf>
    <xf numFmtId="0" fontId="2" fillId="31" borderId="10" xfId="0" applyFont="1" applyFill="1" applyBorder="1" applyAlignment="1">
      <alignment horizontal="center"/>
    </xf>
    <xf numFmtId="0" fontId="2" fillId="31" borderId="50" xfId="0" applyFont="1" applyFill="1" applyBorder="1" applyAlignment="1">
      <alignment horizontal="center"/>
    </xf>
    <xf numFmtId="3" fontId="2" fillId="32" borderId="51" xfId="0" applyNumberFormat="1" applyFont="1" applyFill="1" applyBorder="1" applyAlignment="1">
      <alignment horizontal="center"/>
    </xf>
    <xf numFmtId="3" fontId="2" fillId="32" borderId="50" xfId="0" applyNumberFormat="1" applyFont="1" applyFill="1" applyBorder="1" applyAlignment="1">
      <alignment horizontal="center"/>
    </xf>
    <xf numFmtId="3" fontId="2" fillId="0" borderId="51" xfId="0" applyNumberFormat="1" applyFont="1" applyBorder="1" applyAlignment="1">
      <alignment horizontal="center"/>
    </xf>
    <xf numFmtId="3" fontId="2" fillId="0" borderId="50" xfId="0" applyNumberFormat="1" applyFont="1" applyBorder="1" applyAlignment="1">
      <alignment horizontal="center"/>
    </xf>
    <xf numFmtId="3" fontId="2" fillId="30" borderId="51" xfId="0" applyNumberFormat="1" applyFont="1" applyFill="1" applyBorder="1" applyAlignment="1">
      <alignment horizontal="center"/>
    </xf>
    <xf numFmtId="3" fontId="2" fillId="30" borderId="10" xfId="0" applyNumberFormat="1" applyFont="1" applyFill="1" applyBorder="1" applyAlignment="1">
      <alignment horizontal="center"/>
    </xf>
    <xf numFmtId="3" fontId="2" fillId="31" borderId="10" xfId="0" applyNumberFormat="1" applyFont="1" applyFill="1" applyBorder="1" applyAlignment="1">
      <alignment horizontal="center"/>
    </xf>
    <xf numFmtId="3" fontId="2" fillId="31" borderId="50" xfId="0" applyNumberFormat="1" applyFont="1" applyFill="1" applyBorder="1" applyAlignment="1">
      <alignment horizontal="center"/>
    </xf>
    <xf numFmtId="3" fontId="2" fillId="30" borderId="10" xfId="0" applyNumberFormat="1" applyFont="1" applyFill="1" applyBorder="1"/>
    <xf numFmtId="0" fontId="2" fillId="30" borderId="63" xfId="0" applyFont="1" applyFill="1" applyBorder="1" applyAlignment="1">
      <alignment horizontal="center"/>
    </xf>
    <xf numFmtId="0" fontId="2" fillId="30" borderId="44" xfId="0" applyFont="1" applyFill="1" applyBorder="1" applyAlignment="1">
      <alignment horizontal="center"/>
    </xf>
    <xf numFmtId="0" fontId="2" fillId="31" borderId="44" xfId="0" applyFont="1" applyFill="1" applyBorder="1" applyAlignment="1">
      <alignment horizontal="center"/>
    </xf>
    <xf numFmtId="0" fontId="2" fillId="31" borderId="64" xfId="0" applyFont="1" applyFill="1" applyBorder="1" applyAlignment="1">
      <alignment horizontal="center"/>
    </xf>
    <xf numFmtId="0" fontId="2" fillId="32" borderId="51" xfId="0" applyFont="1" applyFill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31" fillId="0" borderId="47" xfId="0" applyFont="1" applyBorder="1" applyAlignment="1">
      <alignment horizontal="center"/>
    </xf>
    <xf numFmtId="0" fontId="2" fillId="24" borderId="63" xfId="0" applyFont="1" applyFill="1" applyBorder="1" applyAlignment="1">
      <alignment horizontal="center"/>
    </xf>
    <xf numFmtId="0" fontId="2" fillId="24" borderId="44" xfId="0" applyFont="1" applyFill="1" applyBorder="1" applyAlignment="1">
      <alignment horizontal="center"/>
    </xf>
    <xf numFmtId="0" fontId="2" fillId="24" borderId="64" xfId="0" applyFont="1" applyFill="1" applyBorder="1" applyAlignment="1">
      <alignment horizontal="center"/>
    </xf>
    <xf numFmtId="0" fontId="2" fillId="32" borderId="63" xfId="0" applyFont="1" applyFill="1" applyBorder="1" applyAlignment="1">
      <alignment horizontal="center"/>
    </xf>
    <xf numFmtId="0" fontId="2" fillId="32" borderId="64" xfId="0" applyFont="1" applyFill="1" applyBorder="1" applyAlignment="1">
      <alignment horizontal="center"/>
    </xf>
    <xf numFmtId="0" fontId="2" fillId="24" borderId="65" xfId="0" applyFont="1" applyFill="1" applyBorder="1" applyAlignment="1">
      <alignment horizontal="center"/>
    </xf>
    <xf numFmtId="0" fontId="2" fillId="24" borderId="66" xfId="0" applyFont="1" applyFill="1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24" borderId="30" xfId="0" applyFont="1" applyFill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3" fontId="2" fillId="0" borderId="0" xfId="0" quotePrefix="1" applyNumberFormat="1" applyFont="1" applyAlignment="1">
      <alignment horizontal="center"/>
    </xf>
    <xf numFmtId="0" fontId="2" fillId="0" borderId="25" xfId="0" applyFont="1" applyBorder="1"/>
    <xf numFmtId="0" fontId="2" fillId="0" borderId="22" xfId="0" applyFont="1" applyBorder="1"/>
    <xf numFmtId="3" fontId="2" fillId="28" borderId="50" xfId="0" applyNumberFormat="1" applyFont="1" applyFill="1" applyBorder="1" applyAlignment="1">
      <alignment horizontal="center"/>
    </xf>
    <xf numFmtId="0" fontId="2" fillId="28" borderId="63" xfId="0" applyFont="1" applyFill="1" applyBorder="1" applyAlignment="1">
      <alignment horizontal="center"/>
    </xf>
    <xf numFmtId="0" fontId="2" fillId="28" borderId="64" xfId="0" applyFont="1" applyFill="1" applyBorder="1" applyAlignment="1">
      <alignment horizontal="center"/>
    </xf>
    <xf numFmtId="3" fontId="2" fillId="0" borderId="63" xfId="0" applyNumberFormat="1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0" borderId="68" xfId="0" applyFont="1" applyBorder="1" applyAlignment="1">
      <alignment horizontal="center"/>
    </xf>
    <xf numFmtId="0" fontId="2" fillId="26" borderId="69" xfId="0" applyFont="1" applyFill="1" applyBorder="1" applyAlignment="1">
      <alignment horizontal="center"/>
    </xf>
    <xf numFmtId="0" fontId="2" fillId="26" borderId="70" xfId="0" applyFont="1" applyFill="1" applyBorder="1" applyAlignment="1">
      <alignment horizontal="center"/>
    </xf>
    <xf numFmtId="0" fontId="2" fillId="26" borderId="71" xfId="0" applyFont="1" applyFill="1" applyBorder="1" applyAlignment="1">
      <alignment horizontal="center"/>
    </xf>
    <xf numFmtId="0" fontId="2" fillId="25" borderId="72" xfId="0" applyFont="1" applyFill="1" applyBorder="1"/>
    <xf numFmtId="0" fontId="2" fillId="25" borderId="71" xfId="0" applyFont="1" applyFill="1" applyBorder="1"/>
    <xf numFmtId="0" fontId="2" fillId="0" borderId="38" xfId="0" applyFont="1" applyBorder="1" applyAlignment="1">
      <alignment horizontal="center"/>
    </xf>
    <xf numFmtId="0" fontId="2" fillId="0" borderId="60" xfId="0" applyFont="1" applyBorder="1" applyAlignment="1">
      <alignment horizontal="left"/>
    </xf>
    <xf numFmtId="0" fontId="2" fillId="0" borderId="10" xfId="0" applyFont="1" applyBorder="1" applyAlignment="1">
      <alignment horizontal="center"/>
    </xf>
    <xf numFmtId="0" fontId="2" fillId="0" borderId="5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73" xfId="0" applyFont="1" applyBorder="1" applyAlignment="1">
      <alignment horizontal="left"/>
    </xf>
    <xf numFmtId="0" fontId="2" fillId="27" borderId="74" xfId="0" applyFont="1" applyFill="1" applyBorder="1" applyAlignment="1">
      <alignment horizontal="center"/>
    </xf>
    <xf numFmtId="0" fontId="2" fillId="27" borderId="75" xfId="0" applyFont="1" applyFill="1" applyBorder="1" applyAlignment="1">
      <alignment horizontal="center"/>
    </xf>
    <xf numFmtId="0" fontId="2" fillId="27" borderId="57" xfId="0" applyFont="1" applyFill="1" applyBorder="1"/>
    <xf numFmtId="0" fontId="2" fillId="27" borderId="37" xfId="0" applyFont="1" applyFill="1" applyBorder="1"/>
    <xf numFmtId="0" fontId="2" fillId="27" borderId="62" xfId="0" applyFont="1" applyFill="1" applyBorder="1"/>
    <xf numFmtId="0" fontId="2" fillId="27" borderId="76" xfId="0" applyFont="1" applyFill="1" applyBorder="1" applyAlignment="1">
      <alignment horizontal="center"/>
    </xf>
    <xf numFmtId="0" fontId="2" fillId="27" borderId="77" xfId="0" applyFont="1" applyFill="1" applyBorder="1" applyAlignment="1">
      <alignment horizontal="center"/>
    </xf>
    <xf numFmtId="0" fontId="2" fillId="27" borderId="78" xfId="0" applyFont="1" applyFill="1" applyBorder="1"/>
    <xf numFmtId="0" fontId="2" fillId="27" borderId="79" xfId="0" applyFont="1" applyFill="1" applyBorder="1"/>
    <xf numFmtId="0" fontId="2" fillId="27" borderId="80" xfId="0" applyFont="1" applyFill="1" applyBorder="1"/>
    <xf numFmtId="0" fontId="31" fillId="0" borderId="47" xfId="0" applyFont="1" applyBorder="1"/>
    <xf numFmtId="0" fontId="32" fillId="0" borderId="23" xfId="0" applyFont="1" applyBorder="1"/>
    <xf numFmtId="0" fontId="5" fillId="0" borderId="0" xfId="0" applyFont="1" applyAlignment="1">
      <alignment horizontal="left"/>
    </xf>
    <xf numFmtId="0" fontId="0" fillId="0" borderId="78" xfId="0" applyBorder="1"/>
    <xf numFmtId="0" fontId="0" fillId="0" borderId="79" xfId="0" applyBorder="1"/>
    <xf numFmtId="0" fontId="33" fillId="0" borderId="79" xfId="0" applyFont="1" applyBorder="1" applyAlignment="1">
      <alignment horizontal="right"/>
    </xf>
    <xf numFmtId="0" fontId="5" fillId="31" borderId="19" xfId="0" applyFont="1" applyFill="1" applyBorder="1" applyAlignment="1">
      <alignment horizontal="left"/>
    </xf>
    <xf numFmtId="0" fontId="2" fillId="28" borderId="18" xfId="0" applyFont="1" applyFill="1" applyBorder="1" applyAlignment="1">
      <alignment horizontal="center"/>
    </xf>
    <xf numFmtId="0" fontId="2" fillId="28" borderId="16" xfId="0" applyFont="1" applyFill="1" applyBorder="1" applyAlignment="1">
      <alignment horizontal="center"/>
    </xf>
    <xf numFmtId="0" fontId="2" fillId="28" borderId="15" xfId="0" applyFont="1" applyFill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28" borderId="14" xfId="0" applyFont="1" applyFill="1" applyBorder="1" applyAlignment="1">
      <alignment horizontal="center"/>
    </xf>
    <xf numFmtId="0" fontId="31" fillId="0" borderId="23" xfId="0" applyFont="1" applyBorder="1" applyAlignment="1">
      <alignment horizontal="center"/>
    </xf>
    <xf numFmtId="3" fontId="2" fillId="27" borderId="0" xfId="0" applyNumberFormat="1" applyFont="1" applyFill="1" applyAlignment="1">
      <alignment horizontal="center"/>
    </xf>
    <xf numFmtId="0" fontId="2" fillId="27" borderId="0" xfId="0" applyFont="1" applyFill="1" applyAlignment="1">
      <alignment horizontal="center"/>
    </xf>
    <xf numFmtId="0" fontId="31" fillId="27" borderId="0" xfId="0" applyFont="1" applyFill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23" xfId="0" applyFont="1" applyBorder="1"/>
    <xf numFmtId="0" fontId="8" fillId="0" borderId="81" xfId="0" applyFont="1" applyBorder="1" applyAlignment="1">
      <alignment horizontal="center"/>
    </xf>
    <xf numFmtId="0" fontId="0" fillId="0" borderId="44" xfId="0" applyBorder="1"/>
    <xf numFmtId="0" fontId="0" fillId="0" borderId="44" xfId="0" applyBorder="1" applyAlignment="1">
      <alignment horizontal="right"/>
    </xf>
    <xf numFmtId="0" fontId="0" fillId="0" borderId="64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81" xfId="0" applyBorder="1" applyAlignment="1">
      <alignment horizontal="center"/>
    </xf>
    <xf numFmtId="0" fontId="0" fillId="0" borderId="81" xfId="0" applyBorder="1"/>
    <xf numFmtId="0" fontId="8" fillId="0" borderId="44" xfId="0" applyFont="1" applyBorder="1" applyAlignment="1">
      <alignment horizontal="center"/>
    </xf>
    <xf numFmtId="0" fontId="2" fillId="0" borderId="82" xfId="0" applyFont="1" applyBorder="1"/>
    <xf numFmtId="0" fontId="2" fillId="0" borderId="83" xfId="0" applyFont="1" applyBorder="1"/>
    <xf numFmtId="0" fontId="2" fillId="0" borderId="79" xfId="0" applyFont="1" applyBorder="1"/>
    <xf numFmtId="0" fontId="2" fillId="0" borderId="70" xfId="0" applyFont="1" applyBorder="1"/>
    <xf numFmtId="0" fontId="2" fillId="0" borderId="72" xfId="0" applyFont="1" applyBorder="1"/>
    <xf numFmtId="0" fontId="2" fillId="0" borderId="71" xfId="0" applyFont="1" applyBorder="1"/>
    <xf numFmtId="0" fontId="31" fillId="0" borderId="37" xfId="0" applyFont="1" applyBorder="1" applyAlignment="1">
      <alignment horizontal="left"/>
    </xf>
    <xf numFmtId="0" fontId="2" fillId="0" borderId="84" xfId="0" applyFont="1" applyBorder="1" applyAlignment="1">
      <alignment horizontal="center"/>
    </xf>
    <xf numFmtId="0" fontId="2" fillId="24" borderId="85" xfId="0" applyFont="1" applyFill="1" applyBorder="1" applyAlignment="1">
      <alignment horizontal="center"/>
    </xf>
    <xf numFmtId="0" fontId="2" fillId="24" borderId="86" xfId="0" applyFont="1" applyFill="1" applyBorder="1" applyAlignment="1">
      <alignment horizontal="center"/>
    </xf>
    <xf numFmtId="0" fontId="2" fillId="30" borderId="87" xfId="0" applyFont="1" applyFill="1" applyBorder="1" applyAlignment="1">
      <alignment horizontal="center"/>
    </xf>
    <xf numFmtId="0" fontId="2" fillId="31" borderId="71" xfId="0" applyFont="1" applyFill="1" applyBorder="1" applyAlignment="1">
      <alignment horizontal="center"/>
    </xf>
    <xf numFmtId="0" fontId="2" fillId="26" borderId="86" xfId="0" applyFont="1" applyFill="1" applyBorder="1" applyAlignment="1">
      <alignment horizontal="center"/>
    </xf>
    <xf numFmtId="0" fontId="2" fillId="31" borderId="86" xfId="0" applyFont="1" applyFill="1" applyBorder="1" applyAlignment="1">
      <alignment horizontal="center"/>
    </xf>
    <xf numFmtId="0" fontId="2" fillId="0" borderId="86" xfId="0" applyFont="1" applyBorder="1" applyAlignment="1">
      <alignment horizontal="center"/>
    </xf>
    <xf numFmtId="0" fontId="2" fillId="0" borderId="84" xfId="0" applyFont="1" applyBorder="1"/>
    <xf numFmtId="0" fontId="2" fillId="30" borderId="88" xfId="0" applyFont="1" applyFill="1" applyBorder="1" applyAlignment="1">
      <alignment horizontal="center"/>
    </xf>
    <xf numFmtId="0" fontId="2" fillId="30" borderId="89" xfId="0" applyFont="1" applyFill="1" applyBorder="1" applyAlignment="1">
      <alignment horizontal="center"/>
    </xf>
    <xf numFmtId="3" fontId="2" fillId="31" borderId="71" xfId="0" applyNumberFormat="1" applyFont="1" applyFill="1" applyBorder="1" applyAlignment="1">
      <alignment horizontal="center"/>
    </xf>
    <xf numFmtId="0" fontId="2" fillId="32" borderId="69" xfId="0" applyFont="1" applyFill="1" applyBorder="1" applyAlignment="1">
      <alignment horizontal="center"/>
    </xf>
    <xf numFmtId="0" fontId="2" fillId="24" borderId="90" xfId="0" applyFont="1" applyFill="1" applyBorder="1" applyAlignment="1">
      <alignment horizontal="center"/>
    </xf>
    <xf numFmtId="0" fontId="2" fillId="24" borderId="91" xfId="0" applyFont="1" applyFill="1" applyBorder="1" applyAlignment="1">
      <alignment horizontal="center"/>
    </xf>
    <xf numFmtId="3" fontId="2" fillId="30" borderId="92" xfId="0" applyNumberFormat="1" applyFont="1" applyFill="1" applyBorder="1" applyAlignment="1">
      <alignment horizontal="center"/>
    </xf>
    <xf numFmtId="3" fontId="2" fillId="30" borderId="93" xfId="0" applyNumberFormat="1" applyFont="1" applyFill="1" applyBorder="1"/>
    <xf numFmtId="0" fontId="2" fillId="26" borderId="94" xfId="0" applyFont="1" applyFill="1" applyBorder="1" applyAlignment="1">
      <alignment horizontal="center"/>
    </xf>
    <xf numFmtId="0" fontId="2" fillId="26" borderId="31" xfId="0" applyFont="1" applyFill="1" applyBorder="1" applyAlignment="1">
      <alignment horizontal="center"/>
    </xf>
    <xf numFmtId="3" fontId="2" fillId="31" borderId="94" xfId="0" applyNumberFormat="1" applyFont="1" applyFill="1" applyBorder="1" applyAlignment="1">
      <alignment horizontal="center"/>
    </xf>
    <xf numFmtId="3" fontId="2" fillId="30" borderId="90" xfId="0" applyNumberFormat="1" applyFont="1" applyFill="1" applyBorder="1" applyAlignment="1">
      <alignment horizontal="center"/>
    </xf>
    <xf numFmtId="0" fontId="2" fillId="26" borderId="95" xfId="0" applyFont="1" applyFill="1" applyBorder="1" applyAlignment="1">
      <alignment horizontal="center"/>
    </xf>
    <xf numFmtId="3" fontId="2" fillId="31" borderId="96" xfId="0" applyNumberFormat="1" applyFont="1" applyFill="1" applyBorder="1" applyAlignment="1">
      <alignment horizontal="center"/>
    </xf>
    <xf numFmtId="3" fontId="2" fillId="0" borderId="91" xfId="0" applyNumberFormat="1" applyFont="1" applyBorder="1" applyAlignment="1">
      <alignment horizontal="center"/>
    </xf>
    <xf numFmtId="0" fontId="2" fillId="24" borderId="33" xfId="0" applyFont="1" applyFill="1" applyBorder="1" applyAlignment="1">
      <alignment horizontal="center"/>
    </xf>
    <xf numFmtId="0" fontId="2" fillId="30" borderId="97" xfId="0" applyFont="1" applyFill="1" applyBorder="1" applyAlignment="1">
      <alignment horizontal="center"/>
    </xf>
    <xf numFmtId="0" fontId="2" fillId="26" borderId="98" xfId="0" applyFont="1" applyFill="1" applyBorder="1" applyAlignment="1">
      <alignment horizontal="center"/>
    </xf>
    <xf numFmtId="0" fontId="2" fillId="26" borderId="43" xfId="0" applyFont="1" applyFill="1" applyBorder="1" applyAlignment="1">
      <alignment horizontal="center"/>
    </xf>
    <xf numFmtId="0" fontId="2" fillId="31" borderId="98" xfId="0" applyFont="1" applyFill="1" applyBorder="1" applyAlignment="1">
      <alignment horizontal="center"/>
    </xf>
    <xf numFmtId="0" fontId="2" fillId="30" borderId="43" xfId="0" applyFont="1" applyFill="1" applyBorder="1" applyAlignment="1">
      <alignment horizontal="center"/>
    </xf>
    <xf numFmtId="0" fontId="2" fillId="26" borderId="99" xfId="0" applyFont="1" applyFill="1" applyBorder="1" applyAlignment="1">
      <alignment horizontal="center"/>
    </xf>
    <xf numFmtId="0" fontId="2" fillId="31" borderId="100" xfId="0" applyFont="1" applyFill="1" applyBorder="1" applyAlignment="1">
      <alignment horizontal="center"/>
    </xf>
    <xf numFmtId="0" fontId="2" fillId="26" borderId="34" xfId="0" applyFont="1" applyFill="1" applyBorder="1" applyAlignment="1">
      <alignment horizontal="center"/>
    </xf>
    <xf numFmtId="0" fontId="2" fillId="31" borderId="99" xfId="0" applyFont="1" applyFill="1" applyBorder="1" applyAlignment="1">
      <alignment horizontal="center"/>
    </xf>
    <xf numFmtId="0" fontId="2" fillId="24" borderId="81" xfId="0" applyFont="1" applyFill="1" applyBorder="1" applyAlignment="1">
      <alignment horizontal="center"/>
    </xf>
    <xf numFmtId="0" fontId="2" fillId="26" borderId="77" xfId="0" applyFont="1" applyFill="1" applyBorder="1" applyAlignment="1">
      <alignment horizontal="center"/>
    </xf>
    <xf numFmtId="0" fontId="2" fillId="26" borderId="79" xfId="0" applyFont="1" applyFill="1" applyBorder="1" applyAlignment="1">
      <alignment horizontal="center"/>
    </xf>
    <xf numFmtId="0" fontId="2" fillId="31" borderId="77" xfId="0" applyFont="1" applyFill="1" applyBorder="1" applyAlignment="1">
      <alignment horizontal="center"/>
    </xf>
    <xf numFmtId="0" fontId="2" fillId="26" borderId="101" xfId="0" applyFont="1" applyFill="1" applyBorder="1" applyAlignment="1">
      <alignment horizontal="center"/>
    </xf>
    <xf numFmtId="0" fontId="2" fillId="31" borderId="102" xfId="0" applyFont="1" applyFill="1" applyBorder="1" applyAlignment="1">
      <alignment horizontal="center"/>
    </xf>
    <xf numFmtId="0" fontId="2" fillId="24" borderId="103" xfId="0" applyFont="1" applyFill="1" applyBorder="1" applyAlignment="1">
      <alignment horizontal="center"/>
    </xf>
    <xf numFmtId="0" fontId="2" fillId="31" borderId="30" xfId="0" applyFont="1" applyFill="1" applyBorder="1" applyAlignment="1">
      <alignment horizontal="center"/>
    </xf>
    <xf numFmtId="0" fontId="34" fillId="0" borderId="23" xfId="0" applyFont="1" applyBorder="1" applyAlignment="1">
      <alignment horizontal="left" vertical="center" readingOrder="1"/>
    </xf>
    <xf numFmtId="0" fontId="35" fillId="0" borderId="0" xfId="0" applyFont="1" applyAlignment="1">
      <alignment horizontal="left" vertical="center" readingOrder="1"/>
    </xf>
    <xf numFmtId="0" fontId="2" fillId="25" borderId="59" xfId="0" applyFont="1" applyFill="1" applyBorder="1" applyAlignment="1">
      <alignment horizontal="center"/>
    </xf>
    <xf numFmtId="0" fontId="2" fillId="25" borderId="38" xfId="0" applyFont="1" applyFill="1" applyBorder="1"/>
    <xf numFmtId="0" fontId="2" fillId="25" borderId="60" xfId="0" applyFont="1" applyFill="1" applyBorder="1"/>
    <xf numFmtId="0" fontId="2" fillId="25" borderId="70" xfId="0" applyFont="1" applyFill="1" applyBorder="1"/>
    <xf numFmtId="0" fontId="2" fillId="25" borderId="71" xfId="0" applyFont="1" applyFill="1" applyBorder="1" applyAlignment="1">
      <alignment horizontal="center"/>
    </xf>
    <xf numFmtId="0" fontId="0" fillId="23" borderId="23" xfId="0" applyFill="1" applyBorder="1"/>
    <xf numFmtId="0" fontId="2" fillId="25" borderId="63" xfId="0" applyFont="1" applyFill="1" applyBorder="1" applyAlignment="1">
      <alignment horizontal="center"/>
    </xf>
    <xf numFmtId="0" fontId="2" fillId="25" borderId="97" xfId="0" applyFont="1" applyFill="1" applyBorder="1"/>
    <xf numFmtId="0" fontId="2" fillId="25" borderId="100" xfId="0" applyFont="1" applyFill="1" applyBorder="1"/>
    <xf numFmtId="0" fontId="2" fillId="25" borderId="88" xfId="0" applyFont="1" applyFill="1" applyBorder="1" applyAlignment="1">
      <alignment horizontal="center"/>
    </xf>
    <xf numFmtId="0" fontId="2" fillId="25" borderId="104" xfId="0" applyFont="1" applyFill="1" applyBorder="1"/>
    <xf numFmtId="0" fontId="2" fillId="25" borderId="86" xfId="0" applyFont="1" applyFill="1" applyBorder="1"/>
    <xf numFmtId="0" fontId="34" fillId="0" borderId="0" xfId="0" applyFont="1" applyAlignment="1">
      <alignment horizontal="left" vertical="center" readingOrder="1"/>
    </xf>
    <xf numFmtId="0" fontId="2" fillId="25" borderId="70" xfId="0" applyFont="1" applyFill="1" applyBorder="1" applyAlignment="1">
      <alignment horizontal="center"/>
    </xf>
    <xf numFmtId="167" fontId="2" fillId="0" borderId="23" xfId="34" applyNumberFormat="1" applyFont="1" applyFill="1" applyBorder="1" applyAlignment="1">
      <alignment horizontal="center"/>
    </xf>
    <xf numFmtId="0" fontId="2" fillId="27" borderId="57" xfId="0" applyFont="1" applyFill="1" applyBorder="1" applyAlignment="1">
      <alignment horizontal="center"/>
    </xf>
    <xf numFmtId="0" fontId="2" fillId="27" borderId="37" xfId="0" applyFont="1" applyFill="1" applyBorder="1" applyAlignment="1">
      <alignment horizontal="center"/>
    </xf>
    <xf numFmtId="0" fontId="2" fillId="27" borderId="78" xfId="0" applyFont="1" applyFill="1" applyBorder="1" applyAlignment="1">
      <alignment horizontal="center"/>
    </xf>
    <xf numFmtId="0" fontId="5" fillId="0" borderId="23" xfId="0" applyFont="1" applyBorder="1" applyAlignment="1">
      <alignment horizontal="left"/>
    </xf>
    <xf numFmtId="0" fontId="33" fillId="0" borderId="20" xfId="0" applyFont="1" applyBorder="1" applyAlignment="1">
      <alignment horizontal="right"/>
    </xf>
    <xf numFmtId="0" fontId="33" fillId="0" borderId="19" xfId="0" applyFont="1" applyBorder="1" applyAlignment="1">
      <alignment horizontal="right"/>
    </xf>
    <xf numFmtId="0" fontId="5" fillId="0" borderId="0" xfId="0" applyFont="1"/>
    <xf numFmtId="166" fontId="2" fillId="0" borderId="0" xfId="0" applyNumberFormat="1" applyFont="1" applyAlignment="1">
      <alignment horizontal="left"/>
    </xf>
    <xf numFmtId="0" fontId="2" fillId="27" borderId="105" xfId="0" applyFont="1" applyFill="1" applyBorder="1" applyAlignment="1">
      <alignment horizontal="left"/>
    </xf>
    <xf numFmtId="0" fontId="2" fillId="27" borderId="106" xfId="0" applyFont="1" applyFill="1" applyBorder="1" applyAlignment="1">
      <alignment horizontal="left"/>
    </xf>
    <xf numFmtId="0" fontId="2" fillId="27" borderId="106" xfId="0" applyFont="1" applyFill="1" applyBorder="1" applyAlignment="1">
      <alignment horizontal="center"/>
    </xf>
    <xf numFmtId="0" fontId="2" fillId="27" borderId="107" xfId="0" applyFont="1" applyFill="1" applyBorder="1" applyAlignment="1">
      <alignment horizontal="center"/>
    </xf>
    <xf numFmtId="0" fontId="2" fillId="27" borderId="105" xfId="0" applyFont="1" applyFill="1" applyBorder="1" applyAlignment="1">
      <alignment horizontal="center"/>
    </xf>
    <xf numFmtId="0" fontId="2" fillId="27" borderId="108" xfId="0" applyFont="1" applyFill="1" applyBorder="1" applyAlignment="1">
      <alignment horizontal="center"/>
    </xf>
    <xf numFmtId="1" fontId="2" fillId="27" borderId="11" xfId="0" applyNumberFormat="1" applyFont="1" applyFill="1" applyBorder="1" applyAlignment="1">
      <alignment horizontal="center"/>
    </xf>
    <xf numFmtId="0" fontId="2" fillId="27" borderId="21" xfId="0" applyFont="1" applyFill="1" applyBorder="1" applyAlignment="1">
      <alignment horizontal="center"/>
    </xf>
    <xf numFmtId="168" fontId="2" fillId="0" borderId="0" xfId="0" applyNumberFormat="1" applyFont="1" applyAlignment="1">
      <alignment horizontal="center"/>
    </xf>
    <xf numFmtId="0" fontId="2" fillId="27" borderId="109" xfId="0" applyFont="1" applyFill="1" applyBorder="1" applyAlignment="1">
      <alignment horizontal="left"/>
    </xf>
    <xf numFmtId="0" fontId="2" fillId="27" borderId="44" xfId="0" applyFont="1" applyFill="1" applyBorder="1" applyAlignment="1">
      <alignment horizontal="left"/>
    </xf>
    <xf numFmtId="0" fontId="0" fillId="27" borderId="44" xfId="0" applyFill="1" applyBorder="1"/>
    <xf numFmtId="0" fontId="2" fillId="27" borderId="81" xfId="0" applyFont="1" applyFill="1" applyBorder="1" applyAlignment="1">
      <alignment horizontal="center"/>
    </xf>
    <xf numFmtId="0" fontId="2" fillId="27" borderId="109" xfId="0" applyFont="1" applyFill="1" applyBorder="1" applyAlignment="1">
      <alignment horizontal="center"/>
    </xf>
    <xf numFmtId="0" fontId="2" fillId="27" borderId="44" xfId="0" applyFont="1" applyFill="1" applyBorder="1" applyAlignment="1">
      <alignment horizontal="center"/>
    </xf>
    <xf numFmtId="0" fontId="2" fillId="27" borderId="35" xfId="0" applyFont="1" applyFill="1" applyBorder="1" applyAlignment="1">
      <alignment horizontal="center"/>
    </xf>
    <xf numFmtId="1" fontId="2" fillId="27" borderId="14" xfId="0" applyNumberFormat="1" applyFont="1" applyFill="1" applyBorder="1" applyAlignment="1">
      <alignment horizontal="center"/>
    </xf>
    <xf numFmtId="0" fontId="2" fillId="27" borderId="110" xfId="0" applyFont="1" applyFill="1" applyBorder="1" applyAlignment="1">
      <alignment horizontal="center"/>
    </xf>
    <xf numFmtId="0" fontId="2" fillId="0" borderId="0" xfId="0" quotePrefix="1" applyFont="1"/>
    <xf numFmtId="3" fontId="2" fillId="0" borderId="0" xfId="0" applyNumberFormat="1" applyFont="1" applyAlignment="1">
      <alignment horizontal="left"/>
    </xf>
    <xf numFmtId="168" fontId="2" fillId="25" borderId="14" xfId="0" applyNumberFormat="1" applyFont="1" applyFill="1" applyBorder="1"/>
    <xf numFmtId="168" fontId="2" fillId="25" borderId="10" xfId="0" applyNumberFormat="1" applyFont="1" applyFill="1" applyBorder="1"/>
    <xf numFmtId="0" fontId="0" fillId="25" borderId="10" xfId="0" applyFill="1" applyBorder="1"/>
    <xf numFmtId="3" fontId="2" fillId="0" borderId="112" xfId="0" applyNumberFormat="1" applyFont="1" applyBorder="1"/>
    <xf numFmtId="3" fontId="2" fillId="0" borderId="31" xfId="0" applyNumberFormat="1" applyFont="1" applyBorder="1"/>
    <xf numFmtId="3" fontId="2" fillId="0" borderId="113" xfId="0" applyNumberFormat="1" applyFont="1" applyBorder="1"/>
    <xf numFmtId="168" fontId="2" fillId="25" borderId="16" xfId="0" applyNumberFormat="1" applyFont="1" applyFill="1" applyBorder="1"/>
    <xf numFmtId="168" fontId="2" fillId="25" borderId="17" xfId="0" applyNumberFormat="1" applyFont="1" applyFill="1" applyBorder="1"/>
    <xf numFmtId="0" fontId="0" fillId="25" borderId="17" xfId="0" applyFill="1" applyBorder="1"/>
    <xf numFmtId="0" fontId="2" fillId="33" borderId="0" xfId="0" applyFont="1" applyFill="1" applyAlignment="1">
      <alignment horizontal="center"/>
    </xf>
    <xf numFmtId="0" fontId="0" fillId="33" borderId="0" xfId="0" applyFill="1"/>
    <xf numFmtId="0" fontId="0" fillId="33" borderId="22" xfId="0" applyFill="1" applyBorder="1"/>
    <xf numFmtId="0" fontId="2" fillId="25" borderId="0" xfId="0" applyFont="1" applyFill="1" applyAlignment="1">
      <alignment horizontal="center"/>
    </xf>
    <xf numFmtId="1" fontId="2" fillId="25" borderId="0" xfId="0" applyNumberFormat="1" applyFont="1" applyFill="1" applyAlignment="1">
      <alignment horizontal="center"/>
    </xf>
    <xf numFmtId="0" fontId="2" fillId="25" borderId="22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2" fillId="33" borderId="0" xfId="0" applyFont="1" applyFill="1" applyAlignment="1">
      <alignment horizontal="left"/>
    </xf>
    <xf numFmtId="1" fontId="2" fillId="0" borderId="0" xfId="0" applyNumberFormat="1" applyFont="1" applyAlignment="1">
      <alignment horizontal="center"/>
    </xf>
    <xf numFmtId="0" fontId="2" fillId="28" borderId="23" xfId="0" applyFont="1" applyFill="1" applyBorder="1" applyAlignment="1">
      <alignment horizontal="center"/>
    </xf>
    <xf numFmtId="166" fontId="2" fillId="28" borderId="0" xfId="0" applyNumberFormat="1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168" fontId="2" fillId="33" borderId="0" xfId="0" quotePrefix="1" applyNumberFormat="1" applyFont="1" applyFill="1" applyAlignment="1">
      <alignment horizontal="center"/>
    </xf>
    <xf numFmtId="1" fontId="2" fillId="33" borderId="0" xfId="0" quotePrefix="1" applyNumberFormat="1" applyFont="1" applyFill="1" applyAlignment="1">
      <alignment horizontal="center"/>
    </xf>
    <xf numFmtId="1" fontId="2" fillId="25" borderId="0" xfId="0" quotePrefix="1" applyNumberFormat="1" applyFont="1" applyFill="1" applyAlignment="1">
      <alignment horizontal="center"/>
    </xf>
    <xf numFmtId="166" fontId="2" fillId="25" borderId="0" xfId="0" quotePrefix="1" applyNumberFormat="1" applyFont="1" applyFill="1" applyAlignment="1">
      <alignment horizontal="center"/>
    </xf>
    <xf numFmtId="167" fontId="2" fillId="25" borderId="0" xfId="0" applyNumberFormat="1" applyFont="1" applyFill="1" applyAlignment="1">
      <alignment horizontal="center"/>
    </xf>
    <xf numFmtId="168" fontId="2" fillId="33" borderId="0" xfId="0" applyNumberFormat="1" applyFont="1" applyFill="1" applyAlignment="1">
      <alignment horizontal="center"/>
    </xf>
    <xf numFmtId="3" fontId="2" fillId="33" borderId="0" xfId="0" applyNumberFormat="1" applyFont="1" applyFill="1" applyAlignment="1">
      <alignment horizontal="center"/>
    </xf>
    <xf numFmtId="3" fontId="2" fillId="25" borderId="0" xfId="0" applyNumberFormat="1" applyFont="1" applyFill="1" applyAlignment="1">
      <alignment horizontal="center"/>
    </xf>
    <xf numFmtId="168" fontId="2" fillId="25" borderId="0" xfId="0" applyNumberFormat="1" applyFont="1" applyFill="1" applyAlignment="1">
      <alignment horizontal="center"/>
    </xf>
    <xf numFmtId="168" fontId="2" fillId="24" borderId="0" xfId="0" applyNumberFormat="1" applyFont="1" applyFill="1" applyAlignment="1">
      <alignment horizontal="center"/>
    </xf>
    <xf numFmtId="166" fontId="2" fillId="25" borderId="0" xfId="0" applyNumberFormat="1" applyFont="1" applyFill="1" applyAlignment="1">
      <alignment horizontal="center"/>
    </xf>
    <xf numFmtId="167" fontId="2" fillId="25" borderId="22" xfId="0" applyNumberFormat="1" applyFont="1" applyFill="1" applyBorder="1" applyAlignment="1">
      <alignment horizontal="center"/>
    </xf>
    <xf numFmtId="1" fontId="2" fillId="33" borderId="0" xfId="0" applyNumberFormat="1" applyFont="1" applyFill="1" applyAlignment="1">
      <alignment horizontal="center"/>
    </xf>
    <xf numFmtId="3" fontId="2" fillId="0" borderId="0" xfId="0" applyNumberFormat="1" applyFont="1" applyAlignment="1">
      <alignment horizontal="right"/>
    </xf>
    <xf numFmtId="0" fontId="31" fillId="0" borderId="23" xfId="0" applyFont="1" applyBorder="1"/>
    <xf numFmtId="0" fontId="8" fillId="0" borderId="0" xfId="0" quotePrefix="1" applyFont="1"/>
    <xf numFmtId="0" fontId="8" fillId="0" borderId="0" xfId="0" applyFont="1" applyAlignment="1">
      <alignment horizontal="left"/>
    </xf>
    <xf numFmtId="0" fontId="31" fillId="0" borderId="23" xfId="0" applyFont="1" applyBorder="1" applyAlignment="1">
      <alignment horizontal="left"/>
    </xf>
    <xf numFmtId="0" fontId="3" fillId="0" borderId="23" xfId="0" applyFont="1" applyBorder="1"/>
    <xf numFmtId="168" fontId="0" fillId="0" borderId="0" xfId="0" applyNumberFormat="1"/>
    <xf numFmtId="166" fontId="0" fillId="0" borderId="0" xfId="0" applyNumberFormat="1"/>
    <xf numFmtId="1" fontId="0" fillId="0" borderId="0" xfId="0" applyNumberFormat="1" applyAlignment="1">
      <alignment horizontal="center"/>
    </xf>
    <xf numFmtId="1" fontId="0" fillId="0" borderId="0" xfId="0" applyNumberFormat="1"/>
    <xf numFmtId="3" fontId="0" fillId="0" borderId="0" xfId="0" applyNumberFormat="1"/>
    <xf numFmtId="0" fontId="8" fillId="0" borderId="0" xfId="0" quotePrefix="1" applyFont="1" applyAlignment="1">
      <alignment horizontal="left"/>
    </xf>
    <xf numFmtId="164" fontId="26" fillId="0" borderId="0" xfId="1" applyFont="1" applyBorder="1"/>
    <xf numFmtId="164" fontId="8" fillId="0" borderId="0" xfId="1" applyFont="1" applyBorder="1"/>
    <xf numFmtId="167" fontId="2" fillId="0" borderId="0" xfId="0" applyNumberFormat="1" applyFont="1" applyAlignment="1">
      <alignment horizontal="center"/>
    </xf>
    <xf numFmtId="0" fontId="33" fillId="0" borderId="0" xfId="0" applyFont="1"/>
    <xf numFmtId="0" fontId="36" fillId="0" borderId="0" xfId="0" applyFont="1"/>
    <xf numFmtId="0" fontId="31" fillId="0" borderId="10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31" fillId="0" borderId="15" xfId="0" applyFont="1" applyBorder="1" applyAlignment="1">
      <alignment horizontal="center"/>
    </xf>
    <xf numFmtId="0" fontId="33" fillId="0" borderId="0" xfId="0" applyFont="1" applyAlignment="1">
      <alignment horizontal="center"/>
    </xf>
    <xf numFmtId="166" fontId="2" fillId="28" borderId="10" xfId="0" applyNumberFormat="1" applyFont="1" applyFill="1" applyBorder="1" applyAlignment="1">
      <alignment horizontal="center"/>
    </xf>
    <xf numFmtId="166" fontId="2" fillId="0" borderId="10" xfId="0" applyNumberFormat="1" applyFont="1" applyBorder="1" applyAlignment="1">
      <alignment horizontal="center"/>
    </xf>
    <xf numFmtId="3" fontId="33" fillId="0" borderId="0" xfId="0" applyNumberFormat="1" applyFont="1" applyAlignment="1">
      <alignment horizontal="center"/>
    </xf>
    <xf numFmtId="3" fontId="33" fillId="0" borderId="0" xfId="0" applyNumberFormat="1" applyFont="1" applyAlignment="1">
      <alignment horizontal="right"/>
    </xf>
    <xf numFmtId="168" fontId="33" fillId="0" borderId="0" xfId="0" applyNumberFormat="1" applyFont="1"/>
    <xf numFmtId="3" fontId="33" fillId="0" borderId="0" xfId="0" applyNumberFormat="1" applyFont="1"/>
    <xf numFmtId="0" fontId="33" fillId="0" borderId="0" xfId="0" applyFont="1" applyAlignment="1">
      <alignment horizontal="left"/>
    </xf>
    <xf numFmtId="166" fontId="2" fillId="28" borderId="17" xfId="0" applyNumberFormat="1" applyFont="1" applyFill="1" applyBorder="1" applyAlignment="1">
      <alignment horizontal="center"/>
    </xf>
    <xf numFmtId="3" fontId="2" fillId="24" borderId="69" xfId="0" applyNumberFormat="1" applyFont="1" applyFill="1" applyBorder="1" applyAlignment="1" applyProtection="1">
      <alignment horizontal="center"/>
      <protection locked="0"/>
    </xf>
    <xf numFmtId="0" fontId="2" fillId="35" borderId="51" xfId="0" applyFont="1" applyFill="1" applyBorder="1" applyAlignment="1">
      <alignment horizontal="center"/>
    </xf>
    <xf numFmtId="0" fontId="2" fillId="0" borderId="91" xfId="0" applyFont="1" applyBorder="1" applyAlignment="1">
      <alignment horizontal="center"/>
    </xf>
    <xf numFmtId="0" fontId="2" fillId="0" borderId="92" xfId="0" applyFont="1" applyBorder="1" applyAlignment="1">
      <alignment horizontal="center"/>
    </xf>
    <xf numFmtId="0" fontId="2" fillId="28" borderId="50" xfId="0" applyFont="1" applyFill="1" applyBorder="1" applyAlignment="1">
      <alignment horizontal="center"/>
    </xf>
    <xf numFmtId="0" fontId="2" fillId="28" borderId="60" xfId="0" applyFont="1" applyFill="1" applyBorder="1" applyAlignment="1">
      <alignment horizontal="center"/>
    </xf>
    <xf numFmtId="0" fontId="2" fillId="35" borderId="59" xfId="0" applyFont="1" applyFill="1" applyBorder="1" applyAlignment="1">
      <alignment horizontal="center"/>
    </xf>
    <xf numFmtId="0" fontId="2" fillId="27" borderId="33" xfId="0" applyFont="1" applyFill="1" applyBorder="1" applyAlignment="1">
      <alignment horizontal="center"/>
    </xf>
    <xf numFmtId="0" fontId="2" fillId="24" borderId="69" xfId="0" applyFont="1" applyFill="1" applyBorder="1" applyAlignment="1" applyProtection="1">
      <alignment horizontal="center"/>
      <protection locked="0"/>
    </xf>
    <xf numFmtId="166" fontId="2" fillId="24" borderId="69" xfId="0" applyNumberFormat="1" applyFont="1" applyFill="1" applyBorder="1" applyAlignment="1" applyProtection="1">
      <alignment horizontal="center"/>
      <protection locked="0"/>
    </xf>
    <xf numFmtId="2" fontId="1" fillId="0" borderId="10" xfId="32" applyNumberFormat="1" applyBorder="1" applyAlignment="1">
      <alignment horizontal="center" vertical="center"/>
    </xf>
    <xf numFmtId="169" fontId="9" fillId="0" borderId="10" xfId="0" applyNumberFormat="1" applyFont="1" applyBorder="1" applyAlignment="1">
      <alignment horizontal="center" vertical="center"/>
    </xf>
    <xf numFmtId="0" fontId="1" fillId="0" borderId="23" xfId="0" applyFont="1" applyBorder="1"/>
    <xf numFmtId="0" fontId="1" fillId="0" borderId="0" xfId="0" applyFont="1"/>
    <xf numFmtId="0" fontId="2" fillId="0" borderId="14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17" xfId="0" applyFont="1" applyBorder="1" applyAlignment="1">
      <alignment horizontal="center"/>
    </xf>
    <xf numFmtId="0" fontId="1" fillId="28" borderId="41" xfId="0" applyFont="1" applyFill="1" applyBorder="1" applyAlignment="1">
      <alignment horizontal="left" vertical="center"/>
    </xf>
    <xf numFmtId="0" fontId="1" fillId="0" borderId="24" xfId="0" applyFont="1" applyBorder="1"/>
    <xf numFmtId="0" fontId="0" fillId="0" borderId="10" xfId="0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2" fontId="37" fillId="0" borderId="10" xfId="0" applyNumberFormat="1" applyFont="1" applyBorder="1" applyAlignment="1">
      <alignment horizontal="center" vertical="center"/>
    </xf>
    <xf numFmtId="3" fontId="1" fillId="0" borderId="10" xfId="32" applyNumberFormat="1" applyFill="1" applyBorder="1" applyAlignment="1">
      <alignment horizontal="center" vertical="center"/>
    </xf>
    <xf numFmtId="2" fontId="37" fillId="0" borderId="17" xfId="0" applyNumberFormat="1" applyFont="1" applyBorder="1" applyAlignment="1">
      <alignment horizontal="center" vertical="center"/>
    </xf>
    <xf numFmtId="3" fontId="1" fillId="0" borderId="17" xfId="32" applyNumberFormat="1" applyFill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0" fontId="2" fillId="0" borderId="10" xfId="0" applyFont="1" applyBorder="1"/>
    <xf numFmtId="0" fontId="2" fillId="28" borderId="14" xfId="0" applyFont="1" applyFill="1" applyBorder="1" applyAlignment="1">
      <alignment horizontal="left"/>
    </xf>
    <xf numFmtId="0" fontId="2" fillId="28" borderId="10" xfId="0" applyFont="1" applyFill="1" applyBorder="1" applyAlignment="1">
      <alignment horizontal="left"/>
    </xf>
    <xf numFmtId="0" fontId="2" fillId="28" borderId="10" xfId="0" applyFont="1" applyFill="1" applyBorder="1" applyAlignment="1">
      <alignment horizontal="center"/>
    </xf>
    <xf numFmtId="0" fontId="2" fillId="0" borderId="14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28" borderId="16" xfId="0" applyFont="1" applyFill="1" applyBorder="1" applyAlignment="1">
      <alignment horizontal="left"/>
    </xf>
    <xf numFmtId="0" fontId="2" fillId="28" borderId="17" xfId="0" applyFont="1" applyFill="1" applyBorder="1" applyAlignment="1">
      <alignment horizontal="center"/>
    </xf>
    <xf numFmtId="0" fontId="2" fillId="0" borderId="16" xfId="0" applyFont="1" applyBorder="1"/>
    <xf numFmtId="0" fontId="2" fillId="0" borderId="17" xfId="0" applyFont="1" applyBorder="1"/>
    <xf numFmtId="0" fontId="2" fillId="0" borderId="30" xfId="0" applyFont="1" applyBorder="1" applyAlignment="1">
      <alignment horizontal="center"/>
    </xf>
    <xf numFmtId="0" fontId="2" fillId="28" borderId="14" xfId="0" applyFont="1" applyFill="1" applyBorder="1" applyAlignment="1">
      <alignment horizontal="left" vertical="center"/>
    </xf>
    <xf numFmtId="0" fontId="2" fillId="28" borderId="16" xfId="0" applyFont="1" applyFill="1" applyBorder="1" applyAlignment="1">
      <alignment horizontal="left" vertical="center"/>
    </xf>
    <xf numFmtId="0" fontId="2" fillId="0" borderId="37" xfId="0" applyFont="1" applyBorder="1" applyAlignment="1">
      <alignment horizontal="center"/>
    </xf>
    <xf numFmtId="0" fontId="2" fillId="28" borderId="41" xfId="0" applyFont="1" applyFill="1" applyBorder="1" applyAlignment="1">
      <alignment horizontal="left" vertical="center"/>
    </xf>
    <xf numFmtId="0" fontId="2" fillId="28" borderId="42" xfId="0" applyFont="1" applyFill="1" applyBorder="1" applyAlignment="1">
      <alignment horizontal="center"/>
    </xf>
    <xf numFmtId="0" fontId="2" fillId="36" borderId="14" xfId="0" applyFont="1" applyFill="1" applyBorder="1" applyAlignment="1">
      <alignment horizontal="left" vertical="center"/>
    </xf>
    <xf numFmtId="0" fontId="2" fillId="36" borderId="10" xfId="0" applyFont="1" applyFill="1" applyBorder="1" applyAlignment="1">
      <alignment horizontal="center"/>
    </xf>
    <xf numFmtId="0" fontId="2" fillId="28" borderId="27" xfId="0" applyFont="1" applyFill="1" applyBorder="1" applyAlignment="1">
      <alignment horizontal="left"/>
    </xf>
    <xf numFmtId="0" fontId="2" fillId="0" borderId="27" xfId="0" applyFont="1" applyBorder="1" applyAlignment="1">
      <alignment horizontal="left"/>
    </xf>
    <xf numFmtId="0" fontId="2" fillId="28" borderId="28" xfId="0" applyFont="1" applyFill="1" applyBorder="1" applyAlignment="1">
      <alignment horizontal="left"/>
    </xf>
    <xf numFmtId="0" fontId="2" fillId="0" borderId="28" xfId="0" applyFont="1" applyBorder="1"/>
    <xf numFmtId="0" fontId="1" fillId="23" borderId="0" xfId="45" applyFill="1"/>
    <xf numFmtId="0" fontId="1" fillId="0" borderId="0" xfId="45"/>
    <xf numFmtId="0" fontId="2" fillId="0" borderId="19" xfId="45" applyFont="1" applyBorder="1"/>
    <xf numFmtId="0" fontId="2" fillId="0" borderId="20" xfId="45" applyFont="1" applyBorder="1"/>
    <xf numFmtId="0" fontId="1" fillId="0" borderId="20" xfId="45" applyBorder="1"/>
    <xf numFmtId="0" fontId="1" fillId="0" borderId="21" xfId="45" applyBorder="1"/>
    <xf numFmtId="0" fontId="1" fillId="0" borderId="23" xfId="45" applyBorder="1"/>
    <xf numFmtId="0" fontId="2" fillId="0" borderId="0" xfId="45" applyFont="1"/>
    <xf numFmtId="0" fontId="1" fillId="0" borderId="22" xfId="45" applyBorder="1"/>
    <xf numFmtId="0" fontId="2" fillId="0" borderId="23" xfId="45" applyFont="1" applyBorder="1"/>
    <xf numFmtId="0" fontId="2" fillId="24" borderId="0" xfId="45" applyFont="1" applyFill="1" applyAlignment="1" applyProtection="1">
      <alignment horizontal="center"/>
      <protection locked="0"/>
    </xf>
    <xf numFmtId="0" fontId="2" fillId="23" borderId="0" xfId="45" applyFont="1" applyFill="1"/>
    <xf numFmtId="0" fontId="2" fillId="24" borderId="69" xfId="45" applyFont="1" applyFill="1" applyBorder="1" applyAlignment="1" applyProtection="1">
      <alignment horizontal="center"/>
      <protection locked="0"/>
    </xf>
    <xf numFmtId="0" fontId="2" fillId="28" borderId="10" xfId="45" applyFont="1" applyFill="1" applyBorder="1" applyAlignment="1">
      <alignment horizontal="center"/>
    </xf>
    <xf numFmtId="0" fontId="2" fillId="0" borderId="14" xfId="45" applyFont="1" applyBorder="1" applyAlignment="1">
      <alignment horizontal="left" vertical="center"/>
    </xf>
    <xf numFmtId="0" fontId="2" fillId="0" borderId="10" xfId="45" applyFont="1" applyBorder="1" applyAlignment="1">
      <alignment horizontal="center"/>
    </xf>
    <xf numFmtId="0" fontId="2" fillId="0" borderId="16" xfId="45" applyFont="1" applyBorder="1" applyAlignment="1">
      <alignment horizontal="left" vertical="center"/>
    </xf>
    <xf numFmtId="0" fontId="2" fillId="0" borderId="17" xfId="45" applyFont="1" applyBorder="1" applyAlignment="1">
      <alignment horizontal="center"/>
    </xf>
    <xf numFmtId="166" fontId="1" fillId="23" borderId="0" xfId="45" applyNumberFormat="1" applyFill="1"/>
    <xf numFmtId="0" fontId="1" fillId="0" borderId="25" xfId="45" applyBorder="1"/>
    <xf numFmtId="0" fontId="1" fillId="0" borderId="26" xfId="45" applyBorder="1"/>
    <xf numFmtId="0" fontId="38" fillId="0" borderId="0" xfId="45" applyFont="1" applyAlignment="1">
      <alignment horizontal="center" vertical="center" readingOrder="1"/>
    </xf>
    <xf numFmtId="0" fontId="6" fillId="23" borderId="0" xfId="45" applyFont="1" applyFill="1"/>
    <xf numFmtId="0" fontId="3" fillId="0" borderId="0" xfId="45" applyFont="1"/>
    <xf numFmtId="0" fontId="2" fillId="0" borderId="11" xfId="45" applyFont="1" applyBorder="1" applyAlignment="1">
      <alignment horizontal="center" vertical="center"/>
    </xf>
    <xf numFmtId="0" fontId="2" fillId="0" borderId="29" xfId="45" applyFont="1" applyBorder="1" applyAlignment="1">
      <alignment horizontal="center" vertical="center"/>
    </xf>
    <xf numFmtId="0" fontId="2" fillId="0" borderId="12" xfId="45" applyFont="1" applyBorder="1" applyAlignment="1">
      <alignment horizontal="center" vertical="center"/>
    </xf>
    <xf numFmtId="0" fontId="2" fillId="0" borderId="12" xfId="45" applyFont="1" applyBorder="1" applyAlignment="1">
      <alignment horizontal="center"/>
    </xf>
    <xf numFmtId="0" fontId="2" fillId="0" borderId="13" xfId="45" applyFont="1" applyBorder="1" applyAlignment="1">
      <alignment horizontal="center"/>
    </xf>
    <xf numFmtId="0" fontId="1" fillId="28" borderId="41" xfId="45" applyFill="1" applyBorder="1" applyAlignment="1">
      <alignment horizontal="left" vertical="center"/>
    </xf>
    <xf numFmtId="0" fontId="1" fillId="0" borderId="27" xfId="45" applyBorder="1" applyAlignment="1">
      <alignment horizontal="left" vertical="center"/>
    </xf>
    <xf numFmtId="2" fontId="3" fillId="0" borderId="10" xfId="45" applyNumberFormat="1" applyFont="1" applyBorder="1" applyAlignment="1">
      <alignment horizontal="center" vertical="center"/>
    </xf>
    <xf numFmtId="2" fontId="11" fillId="0" borderId="10" xfId="45" applyNumberFormat="1" applyFont="1" applyBorder="1" applyAlignment="1">
      <alignment horizontal="center" vertical="center"/>
    </xf>
    <xf numFmtId="2" fontId="1" fillId="0" borderId="10" xfId="46" applyNumberFormat="1" applyBorder="1" applyAlignment="1">
      <alignment horizontal="center" vertical="center"/>
    </xf>
    <xf numFmtId="2" fontId="1" fillId="0" borderId="10" xfId="45" applyNumberFormat="1" applyBorder="1" applyAlignment="1">
      <alignment horizontal="center" vertical="center"/>
    </xf>
    <xf numFmtId="0" fontId="1" fillId="0" borderId="10" xfId="45" applyBorder="1" applyAlignment="1">
      <alignment horizontal="center"/>
    </xf>
    <xf numFmtId="0" fontId="1" fillId="0" borderId="15" xfId="45" applyBorder="1" applyAlignment="1">
      <alignment horizontal="center"/>
    </xf>
    <xf numFmtId="0" fontId="1" fillId="0" borderId="14" xfId="45" applyBorder="1" applyAlignment="1">
      <alignment horizontal="left" vertical="center"/>
    </xf>
    <xf numFmtId="0" fontId="1" fillId="28" borderId="14" xfId="45" applyFill="1" applyBorder="1" applyAlignment="1">
      <alignment horizontal="left" vertical="center"/>
    </xf>
    <xf numFmtId="3" fontId="1" fillId="0" borderId="10" xfId="46" applyNumberFormat="1" applyBorder="1" applyAlignment="1">
      <alignment horizontal="center" vertical="center"/>
    </xf>
    <xf numFmtId="0" fontId="2" fillId="37" borderId="14" xfId="0" applyFont="1" applyFill="1" applyBorder="1" applyAlignment="1">
      <alignment horizontal="left"/>
    </xf>
    <xf numFmtId="0" fontId="2" fillId="37" borderId="10" xfId="0" applyFont="1" applyFill="1" applyBorder="1" applyAlignment="1">
      <alignment horizontal="left"/>
    </xf>
    <xf numFmtId="0" fontId="2" fillId="37" borderId="10" xfId="0" applyFont="1" applyFill="1" applyBorder="1" applyAlignment="1">
      <alignment horizontal="center"/>
    </xf>
    <xf numFmtId="0" fontId="2" fillId="38" borderId="30" xfId="0" applyFont="1" applyFill="1" applyBorder="1" applyAlignment="1">
      <alignment horizontal="center"/>
    </xf>
    <xf numFmtId="0" fontId="2" fillId="36" borderId="16" xfId="0" applyFont="1" applyFill="1" applyBorder="1" applyAlignment="1">
      <alignment horizontal="left" vertical="center"/>
    </xf>
    <xf numFmtId="0" fontId="2" fillId="36" borderId="17" xfId="0" applyFont="1" applyFill="1" applyBorder="1" applyAlignment="1">
      <alignment horizontal="center"/>
    </xf>
    <xf numFmtId="0" fontId="40" fillId="27" borderId="33" xfId="0" applyFont="1" applyFill="1" applyBorder="1" applyAlignment="1">
      <alignment horizontal="center"/>
    </xf>
    <xf numFmtId="0" fontId="2" fillId="0" borderId="105" xfId="0" applyFont="1" applyBorder="1"/>
    <xf numFmtId="0" fontId="2" fillId="0" borderId="109" xfId="0" applyFont="1" applyBorder="1"/>
    <xf numFmtId="1" fontId="1" fillId="0" borderId="10" xfId="45" applyNumberFormat="1" applyBorder="1" applyAlignment="1">
      <alignment horizontal="center" vertical="center"/>
    </xf>
    <xf numFmtId="0" fontId="11" fillId="0" borderId="10" xfId="45" applyFont="1" applyBorder="1" applyAlignment="1">
      <alignment horizontal="center"/>
    </xf>
    <xf numFmtId="0" fontId="1" fillId="0" borderId="16" xfId="45" applyBorder="1" applyAlignment="1">
      <alignment horizontal="left" vertical="center"/>
    </xf>
    <xf numFmtId="0" fontId="1" fillId="0" borderId="28" xfId="45" applyBorder="1" applyAlignment="1">
      <alignment horizontal="left" vertical="center"/>
    </xf>
    <xf numFmtId="2" fontId="3" fillId="0" borderId="17" xfId="45" applyNumberFormat="1" applyFont="1" applyBorder="1" applyAlignment="1">
      <alignment horizontal="center" vertical="center"/>
    </xf>
    <xf numFmtId="0" fontId="11" fillId="0" borderId="17" xfId="45" applyFont="1" applyBorder="1" applyAlignment="1">
      <alignment horizontal="center"/>
    </xf>
    <xf numFmtId="0" fontId="1" fillId="0" borderId="17" xfId="45" applyBorder="1" applyAlignment="1">
      <alignment horizontal="center"/>
    </xf>
    <xf numFmtId="0" fontId="2" fillId="38" borderId="17" xfId="0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26" borderId="138" xfId="0" applyFont="1" applyFill="1" applyBorder="1" applyAlignment="1">
      <alignment horizontal="center"/>
    </xf>
    <xf numFmtId="0" fontId="2" fillId="0" borderId="137" xfId="0" applyFont="1" applyBorder="1" applyAlignment="1">
      <alignment horizontal="center"/>
    </xf>
    <xf numFmtId="0" fontId="2" fillId="0" borderId="45" xfId="0" applyFont="1" applyBorder="1" applyAlignment="1">
      <alignment horizontal="left" vertical="center"/>
    </xf>
    <xf numFmtId="0" fontId="2" fillId="38" borderId="112" xfId="0" applyFont="1" applyFill="1" applyBorder="1" applyAlignment="1">
      <alignment horizontal="left" vertical="center"/>
    </xf>
    <xf numFmtId="0" fontId="2" fillId="0" borderId="112" xfId="0" applyFont="1" applyBorder="1" applyAlignment="1">
      <alignment horizontal="left" vertical="center"/>
    </xf>
    <xf numFmtId="0" fontId="2" fillId="38" borderId="46" xfId="0" applyFont="1" applyFill="1" applyBorder="1" applyAlignment="1">
      <alignment horizontal="left" vertical="center"/>
    </xf>
    <xf numFmtId="0" fontId="2" fillId="38" borderId="133" xfId="0" applyFont="1" applyFill="1" applyBorder="1" applyAlignment="1">
      <alignment horizontal="center"/>
    </xf>
    <xf numFmtId="0" fontId="2" fillId="0" borderId="133" xfId="0" applyFont="1" applyBorder="1" applyAlignment="1">
      <alignment horizontal="center"/>
    </xf>
    <xf numFmtId="0" fontId="2" fillId="38" borderId="16" xfId="0" applyFont="1" applyFill="1" applyBorder="1" applyAlignment="1">
      <alignment horizontal="center"/>
    </xf>
    <xf numFmtId="166" fontId="2" fillId="27" borderId="33" xfId="0" applyNumberFormat="1" applyFont="1" applyFill="1" applyBorder="1" applyAlignment="1" applyProtection="1">
      <alignment horizontal="center"/>
      <protection hidden="1"/>
    </xf>
    <xf numFmtId="166" fontId="2" fillId="25" borderId="10" xfId="0" applyNumberFormat="1" applyFont="1" applyFill="1" applyBorder="1" applyAlignment="1" applyProtection="1">
      <alignment horizontal="center"/>
      <protection hidden="1"/>
    </xf>
    <xf numFmtId="166" fontId="2" fillId="26" borderId="15" xfId="0" applyNumberFormat="1" applyFont="1" applyFill="1" applyBorder="1" applyAlignment="1" applyProtection="1">
      <alignment horizontal="center"/>
      <protection hidden="1"/>
    </xf>
    <xf numFmtId="166" fontId="2" fillId="27" borderId="34" xfId="0" applyNumberFormat="1" applyFont="1" applyFill="1" applyBorder="1" applyAlignment="1" applyProtection="1">
      <alignment horizontal="center"/>
      <protection hidden="1"/>
    </xf>
    <xf numFmtId="166" fontId="2" fillId="26" borderId="35" xfId="0" applyNumberFormat="1" applyFont="1" applyFill="1" applyBorder="1" applyAlignment="1" applyProtection="1">
      <alignment horizontal="center"/>
      <protection hidden="1"/>
    </xf>
    <xf numFmtId="166" fontId="2" fillId="27" borderId="36" xfId="0" applyNumberFormat="1" applyFont="1" applyFill="1" applyBorder="1" applyAlignment="1" applyProtection="1">
      <alignment horizontal="center"/>
      <protection hidden="1"/>
    </xf>
    <xf numFmtId="166" fontId="2" fillId="25" borderId="17" xfId="0" applyNumberFormat="1" applyFont="1" applyFill="1" applyBorder="1" applyAlignment="1" applyProtection="1">
      <alignment horizontal="center"/>
      <protection hidden="1"/>
    </xf>
    <xf numFmtId="166" fontId="2" fillId="26" borderId="18" xfId="0" applyNumberFormat="1" applyFont="1" applyFill="1" applyBorder="1" applyAlignment="1" applyProtection="1">
      <alignment horizontal="center"/>
      <protection hidden="1"/>
    </xf>
    <xf numFmtId="166" fontId="2" fillId="27" borderId="10" xfId="0" applyNumberFormat="1" applyFont="1" applyFill="1" applyBorder="1" applyAlignment="1" applyProtection="1">
      <alignment horizontal="center"/>
      <protection hidden="1"/>
    </xf>
    <xf numFmtId="166" fontId="39" fillId="25" borderId="10" xfId="0" applyNumberFormat="1" applyFont="1" applyFill="1" applyBorder="1" applyAlignment="1" applyProtection="1">
      <alignment horizontal="center"/>
      <protection hidden="1"/>
    </xf>
    <xf numFmtId="166" fontId="2" fillId="27" borderId="17" xfId="0" applyNumberFormat="1" applyFont="1" applyFill="1" applyBorder="1" applyAlignment="1" applyProtection="1">
      <alignment horizontal="center"/>
      <protection hidden="1"/>
    </xf>
    <xf numFmtId="166" fontId="2" fillId="27" borderId="10" xfId="45" applyNumberFormat="1" applyFont="1" applyFill="1" applyBorder="1" applyAlignment="1" applyProtection="1">
      <alignment horizontal="center"/>
      <protection hidden="1"/>
    </xf>
    <xf numFmtId="1" fontId="2" fillId="26" borderId="15" xfId="45" applyNumberFormat="1" applyFont="1" applyFill="1" applyBorder="1" applyAlignment="1" applyProtection="1">
      <alignment horizontal="center"/>
      <protection hidden="1"/>
    </xf>
    <xf numFmtId="166" fontId="2" fillId="27" borderId="17" xfId="45" applyNumberFormat="1" applyFont="1" applyFill="1" applyBorder="1" applyAlignment="1" applyProtection="1">
      <alignment horizontal="center"/>
      <protection hidden="1"/>
    </xf>
    <xf numFmtId="1" fontId="2" fillId="26" borderId="18" xfId="45" applyNumberFormat="1" applyFont="1" applyFill="1" applyBorder="1" applyAlignment="1" applyProtection="1">
      <alignment horizontal="center"/>
      <protection hidden="1"/>
    </xf>
    <xf numFmtId="166" fontId="2" fillId="27" borderId="43" xfId="0" applyNumberFormat="1" applyFont="1" applyFill="1" applyBorder="1" applyAlignment="1" applyProtection="1">
      <alignment horizontal="center"/>
      <protection hidden="1"/>
    </xf>
    <xf numFmtId="166" fontId="2" fillId="25" borderId="44" xfId="0" applyNumberFormat="1" applyFont="1" applyFill="1" applyBorder="1" applyAlignment="1" applyProtection="1">
      <alignment horizontal="center"/>
      <protection hidden="1"/>
    </xf>
    <xf numFmtId="1" fontId="2" fillId="26" borderId="15" xfId="0" applyNumberFormat="1" applyFont="1" applyFill="1" applyBorder="1" applyAlignment="1" applyProtection="1">
      <alignment horizontal="center"/>
      <protection hidden="1"/>
    </xf>
    <xf numFmtId="1" fontId="2" fillId="26" borderId="18" xfId="0" applyNumberFormat="1" applyFont="1" applyFill="1" applyBorder="1" applyAlignment="1" applyProtection="1">
      <alignment horizontal="center"/>
      <protection hidden="1"/>
    </xf>
    <xf numFmtId="166" fontId="2" fillId="27" borderId="15" xfId="0" applyNumberFormat="1" applyFont="1" applyFill="1" applyBorder="1" applyAlignment="1" applyProtection="1">
      <alignment horizontal="center"/>
      <protection hidden="1"/>
    </xf>
    <xf numFmtId="166" fontId="2" fillId="27" borderId="18" xfId="0" applyNumberFormat="1" applyFont="1" applyFill="1" applyBorder="1" applyAlignment="1" applyProtection="1">
      <alignment horizontal="center"/>
      <protection hidden="1"/>
    </xf>
    <xf numFmtId="166" fontId="2" fillId="27" borderId="53" xfId="0" applyNumberFormat="1" applyFont="1" applyFill="1" applyBorder="1" applyAlignment="1" applyProtection="1">
      <alignment horizontal="center"/>
      <protection hidden="1"/>
    </xf>
    <xf numFmtId="166" fontId="2" fillId="26" borderId="52" xfId="0" applyNumberFormat="1" applyFont="1" applyFill="1" applyBorder="1" applyAlignment="1" applyProtection="1">
      <alignment horizontal="center"/>
      <protection hidden="1"/>
    </xf>
    <xf numFmtId="166" fontId="2" fillId="26" borderId="56" xfId="0" applyNumberFormat="1" applyFont="1" applyFill="1" applyBorder="1" applyAlignment="1" applyProtection="1">
      <alignment horizontal="center"/>
      <protection hidden="1"/>
    </xf>
    <xf numFmtId="0" fontId="2" fillId="25" borderId="69" xfId="0" applyFont="1" applyFill="1" applyBorder="1" applyAlignment="1" applyProtection="1">
      <alignment horizontal="center"/>
      <protection hidden="1"/>
    </xf>
    <xf numFmtId="167" fontId="2" fillId="25" borderId="132" xfId="35" applyNumberFormat="1" applyFont="1" applyFill="1" applyBorder="1" applyAlignment="1" applyProtection="1">
      <alignment horizontal="center"/>
      <protection hidden="1"/>
    </xf>
    <xf numFmtId="0" fontId="2" fillId="26" borderId="69" xfId="0" applyFont="1" applyFill="1" applyBorder="1" applyAlignment="1" applyProtection="1">
      <alignment horizontal="center"/>
      <protection hidden="1"/>
    </xf>
    <xf numFmtId="168" fontId="2" fillId="25" borderId="33" xfId="0" quotePrefix="1" applyNumberFormat="1" applyFont="1" applyFill="1" applyBorder="1" applyAlignment="1" applyProtection="1">
      <alignment horizontal="center"/>
      <protection hidden="1"/>
    </xf>
    <xf numFmtId="3" fontId="2" fillId="25" borderId="14" xfId="0" quotePrefix="1" applyNumberFormat="1" applyFont="1" applyFill="1" applyBorder="1" applyAlignment="1" applyProtection="1">
      <alignment horizontal="center"/>
      <protection hidden="1"/>
    </xf>
    <xf numFmtId="3" fontId="2" fillId="25" borderId="10" xfId="0" quotePrefix="1" applyNumberFormat="1" applyFont="1" applyFill="1" applyBorder="1" applyAlignment="1" applyProtection="1">
      <alignment horizontal="center"/>
      <protection hidden="1"/>
    </xf>
    <xf numFmtId="168" fontId="2" fillId="25" borderId="15" xfId="0" quotePrefix="1" applyNumberFormat="1" applyFont="1" applyFill="1" applyBorder="1" applyAlignment="1" applyProtection="1">
      <alignment horizontal="center"/>
      <protection hidden="1"/>
    </xf>
    <xf numFmtId="167" fontId="2" fillId="25" borderId="111" xfId="0" quotePrefix="1" applyNumberFormat="1" applyFont="1" applyFill="1" applyBorder="1" applyAlignment="1" applyProtection="1">
      <alignment horizontal="center"/>
      <protection hidden="1"/>
    </xf>
    <xf numFmtId="168" fontId="2" fillId="25" borderId="53" xfId="0" quotePrefix="1" applyNumberFormat="1" applyFont="1" applyFill="1" applyBorder="1" applyAlignment="1" applyProtection="1">
      <alignment horizontal="center"/>
      <protection hidden="1"/>
    </xf>
    <xf numFmtId="1" fontId="2" fillId="25" borderId="16" xfId="0" quotePrefix="1" applyNumberFormat="1" applyFont="1" applyFill="1" applyBorder="1" applyAlignment="1" applyProtection="1">
      <alignment horizontal="center"/>
      <protection hidden="1"/>
    </xf>
    <xf numFmtId="1" fontId="2" fillId="25" borderId="17" xfId="0" quotePrefix="1" applyNumberFormat="1" applyFont="1" applyFill="1" applyBorder="1" applyAlignment="1" applyProtection="1">
      <alignment horizontal="center"/>
      <protection hidden="1"/>
    </xf>
    <xf numFmtId="166" fontId="2" fillId="25" borderId="17" xfId="0" quotePrefix="1" applyNumberFormat="1" applyFont="1" applyFill="1" applyBorder="1" applyAlignment="1" applyProtection="1">
      <alignment horizontal="center"/>
      <protection hidden="1"/>
    </xf>
    <xf numFmtId="168" fontId="2" fillId="25" borderId="18" xfId="0" quotePrefix="1" applyNumberFormat="1" applyFont="1" applyFill="1" applyBorder="1" applyAlignment="1" applyProtection="1">
      <alignment horizontal="center"/>
      <protection hidden="1"/>
    </xf>
    <xf numFmtId="167" fontId="2" fillId="25" borderId="114" xfId="0" quotePrefix="1" applyNumberFormat="1" applyFont="1" applyFill="1" applyBorder="1" applyAlignment="1" applyProtection="1">
      <alignment horizontal="center"/>
      <protection hidden="1"/>
    </xf>
    <xf numFmtId="3" fontId="2" fillId="25" borderId="116" xfId="0" applyNumberFormat="1" applyFont="1" applyFill="1" applyBorder="1" applyAlignment="1" applyProtection="1">
      <alignment horizontal="left"/>
      <protection hidden="1"/>
    </xf>
    <xf numFmtId="3" fontId="2" fillId="25" borderId="115" xfId="0" applyNumberFormat="1" applyFont="1" applyFill="1" applyBorder="1" applyAlignment="1" applyProtection="1">
      <alignment horizontal="left"/>
      <protection hidden="1"/>
    </xf>
    <xf numFmtId="167" fontId="2" fillId="25" borderId="71" xfId="34" applyNumberFormat="1" applyFont="1" applyFill="1" applyBorder="1" applyAlignment="1" applyProtection="1">
      <alignment horizontal="center"/>
      <protection hidden="1"/>
    </xf>
    <xf numFmtId="166" fontId="2" fillId="27" borderId="30" xfId="0" applyNumberFormat="1" applyFont="1" applyFill="1" applyBorder="1" applyAlignment="1" applyProtection="1">
      <alignment horizontal="center"/>
      <protection hidden="1"/>
    </xf>
    <xf numFmtId="166" fontId="2" fillId="26" borderId="135" xfId="0" applyNumberFormat="1" applyFont="1" applyFill="1" applyBorder="1" applyAlignment="1" applyProtection="1">
      <alignment horizontal="center"/>
      <protection hidden="1"/>
    </xf>
    <xf numFmtId="166" fontId="2" fillId="26" borderId="32" xfId="0" applyNumberFormat="1" applyFont="1" applyFill="1" applyBorder="1" applyAlignment="1" applyProtection="1">
      <alignment horizontal="center"/>
      <protection hidden="1"/>
    </xf>
    <xf numFmtId="166" fontId="2" fillId="26" borderId="136" xfId="0" applyNumberFormat="1" applyFont="1" applyFill="1" applyBorder="1" applyAlignment="1" applyProtection="1">
      <alignment horizontal="center"/>
      <protection hidden="1"/>
    </xf>
    <xf numFmtId="0" fontId="2" fillId="0" borderId="97" xfId="45" applyFont="1" applyBorder="1" applyAlignment="1">
      <alignment horizontal="center" vertical="center"/>
    </xf>
    <xf numFmtId="0" fontId="2" fillId="0" borderId="44" xfId="45" applyFont="1" applyBorder="1" applyAlignment="1">
      <alignment horizontal="center" vertical="center"/>
    </xf>
    <xf numFmtId="0" fontId="2" fillId="0" borderId="35" xfId="45" applyFont="1" applyBorder="1" applyAlignment="1">
      <alignment horizontal="center"/>
    </xf>
    <xf numFmtId="0" fontId="1" fillId="28" borderId="14" xfId="0" applyFont="1" applyFill="1" applyBorder="1" applyAlignment="1">
      <alignment horizontal="left" vertical="center"/>
    </xf>
    <xf numFmtId="0" fontId="1" fillId="28" borderId="16" xfId="0" applyFont="1" applyFill="1" applyBorder="1" applyAlignment="1">
      <alignment horizontal="left" vertical="center"/>
    </xf>
    <xf numFmtId="0" fontId="1" fillId="0" borderId="127" xfId="0" applyFont="1" applyBorder="1" applyAlignment="1">
      <alignment horizontal="center"/>
    </xf>
    <xf numFmtId="0" fontId="41" fillId="0" borderId="10" xfId="0" applyFont="1" applyBorder="1" applyAlignment="1">
      <alignment horizontal="center"/>
    </xf>
    <xf numFmtId="0" fontId="41" fillId="0" borderId="15" xfId="0" applyFont="1" applyBorder="1" applyAlignment="1">
      <alignment horizontal="center"/>
    </xf>
    <xf numFmtId="0" fontId="41" fillId="0" borderId="17" xfId="0" applyFont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1" fontId="0" fillId="0" borderId="16" xfId="0" applyNumberForma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43" fillId="0" borderId="0" xfId="0" applyFont="1"/>
    <xf numFmtId="0" fontId="43" fillId="0" borderId="0" xfId="0" applyFont="1" applyAlignment="1">
      <alignment horizontal="center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39" fillId="0" borderId="23" xfId="0" applyFont="1" applyBorder="1"/>
    <xf numFmtId="0" fontId="1" fillId="0" borderId="109" xfId="45" applyBorder="1" applyAlignment="1">
      <alignment horizontal="left" vertical="center"/>
    </xf>
    <xf numFmtId="0" fontId="2" fillId="36" borderId="14" xfId="45" applyFont="1" applyFill="1" applyBorder="1" applyAlignment="1">
      <alignment horizontal="left" vertical="center"/>
    </xf>
    <xf numFmtId="0" fontId="2" fillId="36" borderId="10" xfId="45" applyFont="1" applyFill="1" applyBorder="1" applyAlignment="1">
      <alignment horizontal="center"/>
    </xf>
    <xf numFmtId="0" fontId="5" fillId="37" borderId="23" xfId="45" applyFont="1" applyFill="1" applyBorder="1" applyAlignment="1">
      <alignment horizontal="center"/>
    </xf>
    <xf numFmtId="0" fontId="5" fillId="37" borderId="0" xfId="45" applyFont="1" applyFill="1" applyAlignment="1">
      <alignment horizontal="center"/>
    </xf>
    <xf numFmtId="0" fontId="5" fillId="37" borderId="22" xfId="45" applyFont="1" applyFill="1" applyBorder="1" applyAlignment="1">
      <alignment horizontal="center"/>
    </xf>
    <xf numFmtId="0" fontId="0" fillId="37" borderId="23" xfId="0" applyFill="1" applyBorder="1"/>
    <xf numFmtId="0" fontId="0" fillId="37" borderId="0" xfId="0" applyFill="1"/>
    <xf numFmtId="0" fontId="0" fillId="37" borderId="0" xfId="0" applyFill="1" applyAlignment="1">
      <alignment horizontal="left"/>
    </xf>
    <xf numFmtId="0" fontId="0" fillId="37" borderId="22" xfId="0" applyFill="1" applyBorder="1"/>
    <xf numFmtId="0" fontId="2" fillId="37" borderId="23" xfId="0" applyFont="1" applyFill="1" applyBorder="1"/>
    <xf numFmtId="0" fontId="2" fillId="37" borderId="0" xfId="0" applyFont="1" applyFill="1" applyAlignment="1">
      <alignment horizontal="left"/>
    </xf>
    <xf numFmtId="0" fontId="2" fillId="37" borderId="0" xfId="0" applyFont="1" applyFill="1" applyAlignment="1" applyProtection="1">
      <alignment horizontal="center"/>
      <protection locked="0"/>
    </xf>
    <xf numFmtId="166" fontId="2" fillId="40" borderId="0" xfId="0" applyNumberFormat="1" applyFont="1" applyFill="1" applyAlignment="1" applyProtection="1">
      <alignment horizontal="center"/>
      <protection hidden="1"/>
    </xf>
    <xf numFmtId="0" fontId="2" fillId="0" borderId="41" xfId="0" applyFont="1" applyBorder="1" applyAlignment="1">
      <alignment horizontal="center" vertical="center"/>
    </xf>
    <xf numFmtId="0" fontId="2" fillId="38" borderId="141" xfId="0" applyFont="1" applyFill="1" applyBorder="1" applyAlignment="1">
      <alignment horizontal="center"/>
    </xf>
    <xf numFmtId="0" fontId="2" fillId="0" borderId="141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0" fillId="0" borderId="142" xfId="0" applyBorder="1" applyAlignment="1">
      <alignment horizontal="center"/>
    </xf>
    <xf numFmtId="0" fontId="0" fillId="0" borderId="143" xfId="0" applyBorder="1" applyAlignment="1">
      <alignment horizontal="center"/>
    </xf>
    <xf numFmtId="0" fontId="0" fillId="38" borderId="50" xfId="0" applyFill="1" applyBorder="1" applyAlignment="1">
      <alignment horizontal="center"/>
    </xf>
    <xf numFmtId="0" fontId="0" fillId="38" borderId="142" xfId="0" applyFill="1" applyBorder="1" applyAlignment="1">
      <alignment horizontal="center"/>
    </xf>
    <xf numFmtId="0" fontId="0" fillId="38" borderId="147" xfId="0" applyFill="1" applyBorder="1" applyAlignment="1">
      <alignment horizontal="center"/>
    </xf>
    <xf numFmtId="0" fontId="0" fillId="0" borderId="144" xfId="0" applyBorder="1" applyAlignment="1">
      <alignment horizontal="center"/>
    </xf>
    <xf numFmtId="0" fontId="0" fillId="38" borderId="148" xfId="0" applyFill="1" applyBorder="1" applyAlignment="1">
      <alignment horizontal="center"/>
    </xf>
    <xf numFmtId="2" fontId="44" fillId="0" borderId="148" xfId="0" applyNumberFormat="1" applyFont="1" applyBorder="1" applyAlignment="1">
      <alignment horizontal="center"/>
    </xf>
    <xf numFmtId="2" fontId="44" fillId="0" borderId="142" xfId="0" applyNumberFormat="1" applyFont="1" applyBorder="1" applyAlignment="1">
      <alignment horizontal="center" vertical="center"/>
    </xf>
    <xf numFmtId="2" fontId="44" fillId="38" borderId="148" xfId="0" applyNumberFormat="1" applyFont="1" applyFill="1" applyBorder="1" applyAlignment="1">
      <alignment horizontal="center"/>
    </xf>
    <xf numFmtId="166" fontId="44" fillId="38" borderId="142" xfId="0" applyNumberFormat="1" applyFont="1" applyFill="1" applyBorder="1" applyAlignment="1">
      <alignment horizontal="center" vertical="center"/>
    </xf>
    <xf numFmtId="2" fontId="44" fillId="0" borderId="144" xfId="0" applyNumberFormat="1" applyFont="1" applyBorder="1" applyAlignment="1">
      <alignment horizontal="center"/>
    </xf>
    <xf numFmtId="166" fontId="44" fillId="0" borderId="142" xfId="0" applyNumberFormat="1" applyFont="1" applyBorder="1" applyAlignment="1">
      <alignment horizontal="center" vertical="center"/>
    </xf>
    <xf numFmtId="166" fontId="44" fillId="38" borderId="148" xfId="0" applyNumberFormat="1" applyFont="1" applyFill="1" applyBorder="1" applyAlignment="1">
      <alignment horizontal="center"/>
    </xf>
    <xf numFmtId="166" fontId="44" fillId="0" borderId="144" xfId="0" applyNumberFormat="1" applyFont="1" applyBorder="1" applyAlignment="1">
      <alignment horizontal="center"/>
    </xf>
    <xf numFmtId="166" fontId="44" fillId="0" borderId="148" xfId="0" applyNumberFormat="1" applyFont="1" applyBorder="1" applyAlignment="1">
      <alignment horizontal="center"/>
    </xf>
    <xf numFmtId="0" fontId="0" fillId="0" borderId="148" xfId="0" applyBorder="1" applyAlignment="1">
      <alignment horizontal="center"/>
    </xf>
    <xf numFmtId="0" fontId="0" fillId="0" borderId="149" xfId="0" applyBorder="1" applyAlignment="1">
      <alignment horizontal="center"/>
    </xf>
    <xf numFmtId="0" fontId="0" fillId="0" borderId="150" xfId="0" applyBorder="1" applyAlignment="1">
      <alignment horizontal="center"/>
    </xf>
    <xf numFmtId="0" fontId="0" fillId="0" borderId="151" xfId="0" applyBorder="1" applyAlignment="1">
      <alignment horizontal="center"/>
    </xf>
    <xf numFmtId="0" fontId="0" fillId="38" borderId="149" xfId="0" applyFill="1" applyBorder="1" applyAlignment="1">
      <alignment horizontal="center"/>
    </xf>
    <xf numFmtId="0" fontId="0" fillId="38" borderId="150" xfId="0" applyFill="1" applyBorder="1" applyAlignment="1">
      <alignment horizontal="center"/>
    </xf>
    <xf numFmtId="0" fontId="0" fillId="38" borderId="152" xfId="0" applyFill="1" applyBorder="1" applyAlignment="1">
      <alignment horizontal="center"/>
    </xf>
    <xf numFmtId="0" fontId="0" fillId="0" borderId="153" xfId="0" applyBorder="1" applyAlignment="1">
      <alignment horizontal="center"/>
    </xf>
    <xf numFmtId="2" fontId="44" fillId="38" borderId="149" xfId="0" applyNumberFormat="1" applyFont="1" applyFill="1" applyBorder="1" applyAlignment="1">
      <alignment horizontal="center"/>
    </xf>
    <xf numFmtId="2" fontId="44" fillId="38" borderId="150" xfId="0" applyNumberFormat="1" applyFont="1" applyFill="1" applyBorder="1" applyAlignment="1">
      <alignment horizontal="center" vertical="center"/>
    </xf>
    <xf numFmtId="0" fontId="2" fillId="37" borderId="25" xfId="0" applyFont="1" applyFill="1" applyBorder="1" applyAlignment="1">
      <alignment horizontal="left"/>
    </xf>
    <xf numFmtId="0" fontId="0" fillId="37" borderId="25" xfId="0" applyFill="1" applyBorder="1"/>
    <xf numFmtId="0" fontId="0" fillId="37" borderId="26" xfId="0" applyFill="1" applyBorder="1"/>
    <xf numFmtId="0" fontId="1" fillId="38" borderId="50" xfId="0" applyFont="1" applyFill="1" applyBorder="1" applyAlignment="1">
      <alignment horizontal="center"/>
    </xf>
    <xf numFmtId="0" fontId="1" fillId="0" borderId="144" xfId="0" applyFont="1" applyBorder="1" applyAlignment="1">
      <alignment horizontal="center"/>
    </xf>
    <xf numFmtId="2" fontId="0" fillId="0" borderId="143" xfId="0" applyNumberFormat="1" applyBorder="1" applyAlignment="1">
      <alignment horizontal="center"/>
    </xf>
    <xf numFmtId="2" fontId="0" fillId="38" borderId="147" xfId="0" applyNumberFormat="1" applyFill="1" applyBorder="1" applyAlignment="1">
      <alignment horizontal="center"/>
    </xf>
    <xf numFmtId="0" fontId="2" fillId="0" borderId="142" xfId="0" applyFont="1" applyBorder="1" applyAlignment="1">
      <alignment horizontal="center"/>
    </xf>
    <xf numFmtId="0" fontId="2" fillId="27" borderId="142" xfId="0" applyFont="1" applyFill="1" applyBorder="1" applyAlignment="1">
      <alignment horizontal="center"/>
    </xf>
    <xf numFmtId="0" fontId="2" fillId="28" borderId="141" xfId="0" applyFont="1" applyFill="1" applyBorder="1" applyAlignment="1">
      <alignment horizontal="left" vertical="center"/>
    </xf>
    <xf numFmtId="0" fontId="2" fillId="28" borderId="142" xfId="0" applyFont="1" applyFill="1" applyBorder="1" applyAlignment="1">
      <alignment horizontal="center"/>
    </xf>
    <xf numFmtId="166" fontId="2" fillId="27" borderId="142" xfId="0" applyNumberFormat="1" applyFont="1" applyFill="1" applyBorder="1" applyAlignment="1" applyProtection="1">
      <alignment horizontal="center"/>
      <protection hidden="1"/>
    </xf>
    <xf numFmtId="0" fontId="2" fillId="0" borderId="141" xfId="0" applyFont="1" applyBorder="1" applyAlignment="1">
      <alignment horizontal="left" vertical="center"/>
    </xf>
    <xf numFmtId="0" fontId="2" fillId="36" borderId="141" xfId="0" applyFont="1" applyFill="1" applyBorder="1" applyAlignment="1">
      <alignment horizontal="left" vertical="center"/>
    </xf>
    <xf numFmtId="0" fontId="2" fillId="36" borderId="142" xfId="0" applyFont="1" applyFill="1" applyBorder="1" applyAlignment="1">
      <alignment horizontal="center"/>
    </xf>
    <xf numFmtId="0" fontId="39" fillId="0" borderId="141" xfId="0" applyFont="1" applyBorder="1" applyAlignment="1">
      <alignment horizontal="left" vertical="center"/>
    </xf>
    <xf numFmtId="0" fontId="2" fillId="0" borderId="149" xfId="0" applyFont="1" applyBorder="1" applyAlignment="1">
      <alignment horizontal="center"/>
    </xf>
    <xf numFmtId="0" fontId="2" fillId="0" borderId="152" xfId="0" applyFont="1" applyBorder="1" applyAlignment="1">
      <alignment horizontal="center"/>
    </xf>
    <xf numFmtId="0" fontId="2" fillId="0" borderId="148" xfId="0" applyFont="1" applyBorder="1" applyAlignment="1">
      <alignment horizontal="center"/>
    </xf>
    <xf numFmtId="0" fontId="2" fillId="0" borderId="147" xfId="0" applyFont="1" applyBorder="1" applyAlignment="1">
      <alignment horizontal="center"/>
    </xf>
    <xf numFmtId="3" fontId="2" fillId="28" borderId="148" xfId="0" applyNumberFormat="1" applyFont="1" applyFill="1" applyBorder="1" applyAlignment="1">
      <alignment horizontal="center"/>
    </xf>
    <xf numFmtId="0" fontId="2" fillId="28" borderId="147" xfId="0" applyFont="1" applyFill="1" applyBorder="1" applyAlignment="1">
      <alignment horizontal="center"/>
    </xf>
    <xf numFmtId="0" fontId="2" fillId="0" borderId="99" xfId="0" applyFont="1" applyBorder="1" applyAlignment="1">
      <alignment horizontal="center"/>
    </xf>
    <xf numFmtId="3" fontId="2" fillId="28" borderId="99" xfId="0" applyNumberFormat="1" applyFont="1" applyFill="1" applyBorder="1" applyAlignment="1">
      <alignment horizontal="center"/>
    </xf>
    <xf numFmtId="3" fontId="2" fillId="28" borderId="149" xfId="0" applyNumberFormat="1" applyFont="1" applyFill="1" applyBorder="1" applyAlignment="1">
      <alignment horizontal="center"/>
    </xf>
    <xf numFmtId="3" fontId="2" fillId="28" borderId="94" xfId="0" applyNumberFormat="1" applyFont="1" applyFill="1" applyBorder="1" applyAlignment="1">
      <alignment horizontal="center"/>
    </xf>
    <xf numFmtId="0" fontId="5" fillId="37" borderId="23" xfId="45" applyFont="1" applyFill="1" applyBorder="1" applyAlignment="1" applyProtection="1">
      <alignment horizontal="center"/>
      <protection hidden="1"/>
    </xf>
    <xf numFmtId="0" fontId="5" fillId="37" borderId="0" xfId="45" applyFont="1" applyFill="1" applyAlignment="1" applyProtection="1">
      <alignment horizontal="center"/>
      <protection hidden="1"/>
    </xf>
    <xf numFmtId="0" fontId="0" fillId="37" borderId="23" xfId="0" applyFill="1" applyBorder="1" applyProtection="1">
      <protection hidden="1"/>
    </xf>
    <xf numFmtId="0" fontId="0" fillId="37" borderId="0" xfId="0" applyFill="1" applyProtection="1">
      <protection hidden="1"/>
    </xf>
    <xf numFmtId="0" fontId="2" fillId="37" borderId="23" xfId="0" applyFont="1" applyFill="1" applyBorder="1" applyProtection="1">
      <protection hidden="1"/>
    </xf>
    <xf numFmtId="0" fontId="2" fillId="37" borderId="0" xfId="0" applyFont="1" applyFill="1" applyAlignment="1" applyProtection="1">
      <alignment horizontal="right"/>
      <protection hidden="1"/>
    </xf>
    <xf numFmtId="0" fontId="2" fillId="37" borderId="0" xfId="0" applyFont="1" applyFill="1" applyAlignment="1">
      <alignment horizontal="center"/>
    </xf>
    <xf numFmtId="0" fontId="2" fillId="37" borderId="0" xfId="0" applyFont="1" applyFill="1"/>
    <xf numFmtId="0" fontId="2" fillId="41" borderId="169" xfId="0" applyFont="1" applyFill="1" applyBorder="1" applyAlignment="1">
      <alignment horizontal="center"/>
    </xf>
    <xf numFmtId="0" fontId="2" fillId="0" borderId="169" xfId="0" applyFont="1" applyBorder="1" applyAlignment="1">
      <alignment horizontal="center"/>
    </xf>
    <xf numFmtId="0" fontId="2" fillId="0" borderId="170" xfId="0" applyFont="1" applyBorder="1" applyAlignment="1">
      <alignment horizontal="center"/>
    </xf>
    <xf numFmtId="1" fontId="0" fillId="41" borderId="169" xfId="0" applyNumberFormat="1" applyFill="1" applyBorder="1" applyAlignment="1">
      <alignment horizontal="center"/>
    </xf>
    <xf numFmtId="1" fontId="0" fillId="41" borderId="170" xfId="0" applyNumberFormat="1" applyFill="1" applyBorder="1" applyAlignment="1">
      <alignment horizontal="center"/>
    </xf>
    <xf numFmtId="0" fontId="0" fillId="0" borderId="172" xfId="0" applyBorder="1" applyAlignment="1">
      <alignment horizontal="center"/>
    </xf>
    <xf numFmtId="0" fontId="2" fillId="41" borderId="16" xfId="0" applyFont="1" applyFill="1" applyBorder="1" applyAlignment="1">
      <alignment horizontal="center"/>
    </xf>
    <xf numFmtId="0" fontId="0" fillId="0" borderId="169" xfId="0" applyBorder="1" applyAlignment="1">
      <alignment horizontal="center"/>
    </xf>
    <xf numFmtId="0" fontId="0" fillId="0" borderId="16" xfId="0" applyBorder="1" applyAlignment="1">
      <alignment horizontal="center"/>
    </xf>
    <xf numFmtId="1" fontId="0" fillId="41" borderId="16" xfId="0" applyNumberFormat="1" applyFill="1" applyBorder="1" applyAlignment="1">
      <alignment horizontal="center"/>
    </xf>
    <xf numFmtId="1" fontId="0" fillId="41" borderId="173" xfId="0" applyNumberFormat="1" applyFill="1" applyBorder="1" applyAlignment="1">
      <alignment horizontal="center"/>
    </xf>
    <xf numFmtId="0" fontId="0" fillId="0" borderId="174" xfId="0" applyBorder="1" applyAlignment="1">
      <alignment horizontal="center"/>
    </xf>
    <xf numFmtId="0" fontId="0" fillId="0" borderId="170" xfId="0" applyBorder="1" applyAlignment="1">
      <alignment horizontal="center"/>
    </xf>
    <xf numFmtId="0" fontId="2" fillId="0" borderId="23" xfId="0" applyFont="1" applyBorder="1" applyAlignment="1">
      <alignment horizontal="right"/>
    </xf>
    <xf numFmtId="0" fontId="2" fillId="24" borderId="170" xfId="0" applyFont="1" applyFill="1" applyBorder="1" applyAlignment="1" applyProtection="1">
      <alignment horizontal="center"/>
      <protection locked="0"/>
    </xf>
    <xf numFmtId="0" fontId="2" fillId="26" borderId="13" xfId="0" applyFont="1" applyFill="1" applyBorder="1" applyAlignment="1">
      <alignment horizontal="center"/>
    </xf>
    <xf numFmtId="0" fontId="2" fillId="26" borderId="172" xfId="0" applyFont="1" applyFill="1" applyBorder="1" applyAlignment="1">
      <alignment horizontal="center"/>
    </xf>
    <xf numFmtId="0" fontId="2" fillId="28" borderId="169" xfId="0" applyFont="1" applyFill="1" applyBorder="1" applyAlignment="1">
      <alignment horizontal="left" vertical="center"/>
    </xf>
    <xf numFmtId="1" fontId="2" fillId="26" borderId="172" xfId="0" applyNumberFormat="1" applyFont="1" applyFill="1" applyBorder="1" applyAlignment="1" applyProtection="1">
      <alignment horizontal="center"/>
      <protection hidden="1"/>
    </xf>
    <xf numFmtId="0" fontId="2" fillId="0" borderId="169" xfId="0" applyFont="1" applyBorder="1" applyAlignment="1">
      <alignment horizontal="left" vertical="center"/>
    </xf>
    <xf numFmtId="0" fontId="45" fillId="0" borderId="0" xfId="0" applyFont="1"/>
    <xf numFmtId="0" fontId="2" fillId="36" borderId="169" xfId="0" applyFont="1" applyFill="1" applyBorder="1" applyAlignment="1">
      <alignment horizontal="left" vertical="center"/>
    </xf>
    <xf numFmtId="0" fontId="2" fillId="0" borderId="175" xfId="0" applyFont="1" applyBorder="1" applyAlignment="1">
      <alignment horizontal="left" vertical="center"/>
    </xf>
    <xf numFmtId="1" fontId="2" fillId="26" borderId="176" xfId="0" applyNumberFormat="1" applyFont="1" applyFill="1" applyBorder="1" applyAlignment="1" applyProtection="1">
      <alignment horizontal="center"/>
      <protection hidden="1"/>
    </xf>
    <xf numFmtId="0" fontId="0" fillId="0" borderId="177" xfId="0" applyBorder="1" applyAlignment="1">
      <alignment horizontal="center"/>
    </xf>
    <xf numFmtId="0" fontId="0" fillId="0" borderId="178" xfId="0" applyBorder="1" applyAlignment="1">
      <alignment horizontal="center"/>
    </xf>
    <xf numFmtId="2" fontId="0" fillId="0" borderId="178" xfId="0" applyNumberFormat="1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47" xfId="0" applyBorder="1" applyAlignment="1">
      <alignment horizontal="center"/>
    </xf>
    <xf numFmtId="170" fontId="0" fillId="0" borderId="178" xfId="0" applyNumberFormat="1" applyBorder="1" applyAlignment="1">
      <alignment horizontal="center"/>
    </xf>
    <xf numFmtId="0" fontId="0" fillId="0" borderId="179" xfId="0" applyBorder="1" applyAlignment="1">
      <alignment horizontal="center"/>
    </xf>
    <xf numFmtId="2" fontId="0" fillId="0" borderId="180" xfId="0" applyNumberFormat="1" applyBorder="1" applyAlignment="1">
      <alignment horizontal="center"/>
    </xf>
    <xf numFmtId="0" fontId="0" fillId="0" borderId="181" xfId="0" applyBorder="1"/>
    <xf numFmtId="0" fontId="0" fillId="0" borderId="170" xfId="0" applyBorder="1"/>
    <xf numFmtId="0" fontId="0" fillId="0" borderId="63" xfId="0" applyBorder="1" applyAlignment="1">
      <alignment horizontal="center"/>
    </xf>
    <xf numFmtId="1" fontId="0" fillId="0" borderId="174" xfId="0" applyNumberFormat="1" applyBorder="1" applyAlignment="1">
      <alignment horizontal="center"/>
    </xf>
    <xf numFmtId="0" fontId="0" fillId="0" borderId="173" xfId="0" applyBorder="1" applyAlignment="1">
      <alignment horizontal="center"/>
    </xf>
    <xf numFmtId="1" fontId="0" fillId="0" borderId="173" xfId="0" applyNumberFormat="1" applyBorder="1" applyAlignment="1">
      <alignment horizontal="center"/>
    </xf>
    <xf numFmtId="1" fontId="0" fillId="0" borderId="172" xfId="0" applyNumberFormat="1" applyBorder="1" applyAlignment="1">
      <alignment horizontal="center"/>
    </xf>
    <xf numFmtId="1" fontId="0" fillId="0" borderId="170" xfId="0" applyNumberFormat="1" applyBorder="1" applyAlignment="1">
      <alignment horizontal="center"/>
    </xf>
    <xf numFmtId="0" fontId="46" fillId="0" borderId="12" xfId="0" applyFont="1" applyBorder="1" applyAlignment="1">
      <alignment horizontal="center"/>
    </xf>
    <xf numFmtId="166" fontId="0" fillId="0" borderId="172" xfId="0" applyNumberFormat="1" applyBorder="1" applyAlignment="1">
      <alignment horizontal="center"/>
    </xf>
    <xf numFmtId="166" fontId="0" fillId="0" borderId="170" xfId="0" applyNumberFormat="1" applyBorder="1" applyAlignment="1">
      <alignment horizontal="center"/>
    </xf>
    <xf numFmtId="0" fontId="1" fillId="0" borderId="0" xfId="0" applyFont="1" applyAlignment="1">
      <alignment horizontal="center"/>
    </xf>
    <xf numFmtId="166" fontId="0" fillId="0" borderId="173" xfId="0" applyNumberFormat="1" applyBorder="1" applyAlignment="1">
      <alignment horizontal="center"/>
    </xf>
    <xf numFmtId="2" fontId="0" fillId="0" borderId="173" xfId="0" applyNumberFormat="1" applyBorder="1" applyAlignment="1">
      <alignment horizontal="center"/>
    </xf>
    <xf numFmtId="2" fontId="0" fillId="0" borderId="170" xfId="0" applyNumberFormat="1" applyBorder="1" applyAlignment="1">
      <alignment horizontal="center"/>
    </xf>
    <xf numFmtId="0" fontId="2" fillId="0" borderId="0" xfId="45" applyFont="1" applyAlignment="1">
      <alignment horizontal="center"/>
    </xf>
    <xf numFmtId="0" fontId="2" fillId="0" borderId="0" xfId="45" applyFont="1" applyAlignment="1">
      <alignment horizontal="left" vertical="center"/>
    </xf>
    <xf numFmtId="1" fontId="2" fillId="26" borderId="174" xfId="0" applyNumberFormat="1" applyFont="1" applyFill="1" applyBorder="1" applyAlignment="1" applyProtection="1">
      <alignment horizontal="center"/>
      <protection hidden="1"/>
    </xf>
    <xf numFmtId="0" fontId="2" fillId="0" borderId="173" xfId="45" applyFont="1" applyBorder="1" applyAlignment="1">
      <alignment horizontal="center"/>
    </xf>
    <xf numFmtId="0" fontId="2" fillId="28" borderId="170" xfId="45" applyFont="1" applyFill="1" applyBorder="1" applyAlignment="1">
      <alignment horizontal="center"/>
    </xf>
    <xf numFmtId="0" fontId="2" fillId="36" borderId="169" xfId="45" applyFont="1" applyFill="1" applyBorder="1" applyAlignment="1">
      <alignment horizontal="left" vertical="center"/>
    </xf>
    <xf numFmtId="0" fontId="2" fillId="0" borderId="170" xfId="45" applyFont="1" applyBorder="1" applyAlignment="1">
      <alignment horizontal="center"/>
    </xf>
    <xf numFmtId="0" fontId="2" fillId="0" borderId="169" xfId="45" applyFont="1" applyBorder="1" applyAlignment="1">
      <alignment horizontal="left" vertical="center"/>
    </xf>
    <xf numFmtId="166" fontId="2" fillId="26" borderId="172" xfId="0" applyNumberFormat="1" applyFont="1" applyFill="1" applyBorder="1" applyAlignment="1" applyProtection="1">
      <alignment horizontal="center"/>
      <protection hidden="1"/>
    </xf>
    <xf numFmtId="0" fontId="2" fillId="36" borderId="170" xfId="45" applyFont="1" applyFill="1" applyBorder="1" applyAlignment="1">
      <alignment horizontal="center"/>
    </xf>
    <xf numFmtId="0" fontId="1" fillId="37" borderId="23" xfId="45" applyFill="1" applyBorder="1"/>
    <xf numFmtId="0" fontId="1" fillId="37" borderId="0" xfId="45" applyFill="1"/>
    <xf numFmtId="0" fontId="1" fillId="37" borderId="0" xfId="45" applyFill="1" applyAlignment="1">
      <alignment horizontal="left"/>
    </xf>
    <xf numFmtId="0" fontId="1" fillId="37" borderId="22" xfId="45" applyFill="1" applyBorder="1"/>
    <xf numFmtId="0" fontId="2" fillId="37" borderId="23" xfId="45" applyFont="1" applyFill="1" applyBorder="1"/>
    <xf numFmtId="0" fontId="2" fillId="0" borderId="0" xfId="45" applyFont="1" applyAlignment="1">
      <alignment horizontal="right"/>
    </xf>
    <xf numFmtId="0" fontId="2" fillId="0" borderId="0" xfId="45" applyFont="1" applyAlignment="1">
      <alignment horizontal="left"/>
    </xf>
    <xf numFmtId="0" fontId="2" fillId="37" borderId="0" xfId="45" applyFont="1" applyFill="1" applyAlignment="1">
      <alignment horizontal="right"/>
    </xf>
    <xf numFmtId="0" fontId="2" fillId="37" borderId="0" xfId="45" applyFont="1" applyFill="1" applyAlignment="1">
      <alignment horizontal="center"/>
    </xf>
    <xf numFmtId="0" fontId="2" fillId="37" borderId="0" xfId="45" applyFont="1" applyFill="1" applyAlignment="1">
      <alignment horizontal="left"/>
    </xf>
    <xf numFmtId="0" fontId="2" fillId="38" borderId="169" xfId="45" applyFont="1" applyFill="1" applyBorder="1" applyAlignment="1">
      <alignment horizontal="center"/>
    </xf>
    <xf numFmtId="0" fontId="2" fillId="0" borderId="169" xfId="45" applyFont="1" applyBorder="1" applyAlignment="1">
      <alignment horizontal="center"/>
    </xf>
    <xf numFmtId="0" fontId="2" fillId="0" borderId="16" xfId="45" applyFont="1" applyBorder="1" applyAlignment="1">
      <alignment horizontal="center"/>
    </xf>
    <xf numFmtId="0" fontId="1" fillId="37" borderId="25" xfId="45" applyFill="1" applyBorder="1"/>
    <xf numFmtId="0" fontId="1" fillId="37" borderId="26" xfId="45" applyFill="1" applyBorder="1"/>
    <xf numFmtId="0" fontId="1" fillId="0" borderId="0" xfId="45" applyAlignment="1">
      <alignment horizontal="left"/>
    </xf>
    <xf numFmtId="0" fontId="1" fillId="0" borderId="11" xfId="45" applyBorder="1"/>
    <xf numFmtId="0" fontId="1" fillId="0" borderId="169" xfId="45" applyBorder="1" applyAlignment="1">
      <alignment horizontal="center"/>
    </xf>
    <xf numFmtId="0" fontId="1" fillId="0" borderId="170" xfId="45" applyBorder="1" applyAlignment="1">
      <alignment horizontal="center"/>
    </xf>
    <xf numFmtId="0" fontId="1" fillId="38" borderId="170" xfId="45" applyFill="1" applyBorder="1" applyAlignment="1">
      <alignment horizontal="center"/>
    </xf>
    <xf numFmtId="0" fontId="1" fillId="38" borderId="172" xfId="45" applyFill="1" applyBorder="1" applyAlignment="1">
      <alignment horizontal="center"/>
    </xf>
    <xf numFmtId="0" fontId="1" fillId="0" borderId="0" xfId="45" applyAlignment="1">
      <alignment horizontal="center"/>
    </xf>
    <xf numFmtId="2" fontId="44" fillId="0" borderId="170" xfId="45" applyNumberFormat="1" applyFont="1" applyBorder="1" applyAlignment="1">
      <alignment horizontal="center"/>
    </xf>
    <xf numFmtId="2" fontId="44" fillId="0" borderId="170" xfId="45" applyNumberFormat="1" applyFont="1" applyBorder="1" applyAlignment="1">
      <alignment horizontal="center" vertical="center"/>
    </xf>
    <xf numFmtId="2" fontId="44" fillId="38" borderId="170" xfId="45" applyNumberFormat="1" applyFont="1" applyFill="1" applyBorder="1" applyAlignment="1">
      <alignment horizontal="center"/>
    </xf>
    <xf numFmtId="166" fontId="44" fillId="38" borderId="170" xfId="45" applyNumberFormat="1" applyFont="1" applyFill="1" applyBorder="1" applyAlignment="1">
      <alignment horizontal="center" vertical="center"/>
    </xf>
    <xf numFmtId="166" fontId="44" fillId="0" borderId="170" xfId="45" applyNumberFormat="1" applyFont="1" applyBorder="1" applyAlignment="1">
      <alignment horizontal="center" vertical="center"/>
    </xf>
    <xf numFmtId="2" fontId="44" fillId="0" borderId="161" xfId="0" applyNumberFormat="1" applyFont="1" applyBorder="1" applyAlignment="1">
      <alignment horizontal="center"/>
    </xf>
    <xf numFmtId="166" fontId="44" fillId="0" borderId="170" xfId="0" applyNumberFormat="1" applyFont="1" applyBorder="1" applyAlignment="1">
      <alignment horizontal="center" vertical="center"/>
    </xf>
    <xf numFmtId="166" fontId="44" fillId="38" borderId="172" xfId="45" applyNumberFormat="1" applyFont="1" applyFill="1" applyBorder="1" applyAlignment="1">
      <alignment horizontal="center" vertical="center"/>
    </xf>
    <xf numFmtId="166" fontId="44" fillId="38" borderId="170" xfId="45" applyNumberFormat="1" applyFont="1" applyFill="1" applyBorder="1" applyAlignment="1">
      <alignment horizontal="center"/>
    </xf>
    <xf numFmtId="166" fontId="44" fillId="0" borderId="161" xfId="0" applyNumberFormat="1" applyFont="1" applyBorder="1" applyAlignment="1">
      <alignment horizontal="center"/>
    </xf>
    <xf numFmtId="166" fontId="44" fillId="0" borderId="170" xfId="45" applyNumberFormat="1" applyFont="1" applyBorder="1" applyAlignment="1">
      <alignment horizontal="center"/>
    </xf>
    <xf numFmtId="0" fontId="1" fillId="0" borderId="170" xfId="45" applyBorder="1" applyAlignment="1">
      <alignment horizontal="left"/>
    </xf>
    <xf numFmtId="0" fontId="1" fillId="0" borderId="170" xfId="45" applyBorder="1"/>
    <xf numFmtId="0" fontId="1" fillId="0" borderId="16" xfId="45" applyBorder="1" applyAlignment="1">
      <alignment horizontal="center"/>
    </xf>
    <xf numFmtId="0" fontId="1" fillId="0" borderId="173" xfId="45" applyBorder="1" applyAlignment="1">
      <alignment horizontal="center"/>
    </xf>
    <xf numFmtId="0" fontId="1" fillId="0" borderId="173" xfId="45" applyBorder="1" applyAlignment="1">
      <alignment horizontal="left"/>
    </xf>
    <xf numFmtId="0" fontId="1" fillId="0" borderId="173" xfId="45" applyBorder="1"/>
    <xf numFmtId="2" fontId="44" fillId="38" borderId="173" xfId="45" applyNumberFormat="1" applyFont="1" applyFill="1" applyBorder="1" applyAlignment="1">
      <alignment horizontal="center"/>
    </xf>
    <xf numFmtId="2" fontId="44" fillId="38" borderId="174" xfId="45" applyNumberFormat="1" applyFont="1" applyFill="1" applyBorder="1" applyAlignment="1">
      <alignment horizontal="center" vertical="center"/>
    </xf>
    <xf numFmtId="0" fontId="1" fillId="0" borderId="182" xfId="45" applyBorder="1" applyAlignment="1">
      <alignment horizontal="center"/>
    </xf>
    <xf numFmtId="0" fontId="2" fillId="37" borderId="25" xfId="45" applyFont="1" applyFill="1" applyBorder="1" applyAlignment="1">
      <alignment horizontal="left"/>
    </xf>
    <xf numFmtId="0" fontId="1" fillId="0" borderId="102" xfId="45" applyBorder="1" applyAlignment="1">
      <alignment horizontal="center"/>
    </xf>
    <xf numFmtId="0" fontId="1" fillId="38" borderId="102" xfId="45" applyFill="1" applyBorder="1" applyAlignment="1">
      <alignment horizontal="center"/>
    </xf>
    <xf numFmtId="0" fontId="1" fillId="0" borderId="100" xfId="45" applyBorder="1" applyAlignment="1">
      <alignment horizontal="center"/>
    </xf>
    <xf numFmtId="0" fontId="1" fillId="0" borderId="162" xfId="45" applyBorder="1" applyAlignment="1">
      <alignment horizontal="center"/>
    </xf>
    <xf numFmtId="0" fontId="1" fillId="0" borderId="177" xfId="45" applyBorder="1" applyAlignment="1">
      <alignment horizontal="center"/>
    </xf>
    <xf numFmtId="0" fontId="1" fillId="38" borderId="177" xfId="45" applyFill="1" applyBorder="1" applyAlignment="1">
      <alignment horizontal="center"/>
    </xf>
    <xf numFmtId="0" fontId="1" fillId="0" borderId="161" xfId="45" applyBorder="1" applyAlignment="1">
      <alignment horizontal="center"/>
    </xf>
    <xf numFmtId="2" fontId="1" fillId="0" borderId="162" xfId="45" applyNumberFormat="1" applyBorder="1" applyAlignment="1">
      <alignment horizontal="center"/>
    </xf>
    <xf numFmtId="2" fontId="1" fillId="38" borderId="178" xfId="45" applyNumberFormat="1" applyFill="1" applyBorder="1" applyAlignment="1">
      <alignment horizontal="center"/>
    </xf>
    <xf numFmtId="0" fontId="2" fillId="37" borderId="19" xfId="0" applyFont="1" applyFill="1" applyBorder="1"/>
    <xf numFmtId="0" fontId="2" fillId="37" borderId="20" xfId="0" applyFont="1" applyFill="1" applyBorder="1"/>
    <xf numFmtId="0" fontId="0" fillId="37" borderId="20" xfId="0" applyFill="1" applyBorder="1"/>
    <xf numFmtId="0" fontId="0" fillId="37" borderId="21" xfId="0" applyFill="1" applyBorder="1"/>
    <xf numFmtId="166" fontId="0" fillId="37" borderId="0" xfId="0" applyNumberFormat="1" applyFill="1"/>
    <xf numFmtId="0" fontId="0" fillId="37" borderId="24" xfId="0" applyFill="1" applyBorder="1"/>
    <xf numFmtId="166" fontId="0" fillId="0" borderId="183" xfId="0" applyNumberFormat="1" applyBorder="1" applyAlignment="1">
      <alignment horizontal="center"/>
    </xf>
    <xf numFmtId="166" fontId="0" fillId="0" borderId="184" xfId="0" applyNumberFormat="1" applyBorder="1" applyAlignment="1">
      <alignment horizontal="center"/>
    </xf>
    <xf numFmtId="1" fontId="0" fillId="0" borderId="183" xfId="0" applyNumberFormat="1" applyBorder="1" applyAlignment="1">
      <alignment horizontal="center"/>
    </xf>
    <xf numFmtId="1" fontId="0" fillId="0" borderId="184" xfId="0" applyNumberFormat="1" applyBorder="1" applyAlignment="1">
      <alignment horizontal="center"/>
    </xf>
    <xf numFmtId="2" fontId="0" fillId="0" borderId="172" xfId="0" applyNumberFormat="1" applyBorder="1" applyAlignment="1">
      <alignment horizontal="center"/>
    </xf>
    <xf numFmtId="2" fontId="0" fillId="0" borderId="174" xfId="0" applyNumberFormat="1" applyBorder="1" applyAlignment="1">
      <alignment horizontal="center"/>
    </xf>
    <xf numFmtId="0" fontId="0" fillId="0" borderId="185" xfId="0" applyBorder="1" applyAlignment="1">
      <alignment horizontal="center"/>
    </xf>
    <xf numFmtId="0" fontId="0" fillId="0" borderId="186" xfId="0" applyBorder="1" applyAlignment="1">
      <alignment horizontal="center"/>
    </xf>
    <xf numFmtId="0" fontId="0" fillId="0" borderId="188" xfId="0" applyBorder="1" applyAlignment="1">
      <alignment horizontal="center"/>
    </xf>
    <xf numFmtId="0" fontId="0" fillId="0" borderId="189" xfId="0" applyBorder="1" applyAlignment="1">
      <alignment horizontal="center"/>
    </xf>
    <xf numFmtId="0" fontId="0" fillId="0" borderId="187" xfId="0" applyBorder="1" applyAlignment="1">
      <alignment horizontal="center"/>
    </xf>
    <xf numFmtId="0" fontId="0" fillId="0" borderId="190" xfId="0" applyBorder="1" applyAlignment="1">
      <alignment horizontal="center"/>
    </xf>
    <xf numFmtId="0" fontId="41" fillId="0" borderId="171" xfId="0" applyFont="1" applyBorder="1" applyAlignment="1">
      <alignment horizontal="center"/>
    </xf>
    <xf numFmtId="0" fontId="1" fillId="0" borderId="185" xfId="0" applyFont="1" applyBorder="1" applyAlignment="1">
      <alignment horizontal="center"/>
    </xf>
    <xf numFmtId="0" fontId="0" fillId="42" borderId="186" xfId="0" applyFill="1" applyBorder="1" applyAlignment="1">
      <alignment horizontal="center"/>
    </xf>
    <xf numFmtId="0" fontId="0" fillId="42" borderId="187" xfId="0" applyFill="1" applyBorder="1" applyAlignment="1">
      <alignment horizontal="center"/>
    </xf>
    <xf numFmtId="166" fontId="2" fillId="27" borderId="196" xfId="0" applyNumberFormat="1" applyFont="1" applyFill="1" applyBorder="1" applyAlignment="1" applyProtection="1">
      <alignment horizontal="center"/>
      <protection hidden="1"/>
    </xf>
    <xf numFmtId="166" fontId="2" fillId="27" borderId="197" xfId="0" applyNumberFormat="1" applyFont="1" applyFill="1" applyBorder="1" applyAlignment="1" applyProtection="1">
      <alignment horizontal="center"/>
      <protection hidden="1"/>
    </xf>
    <xf numFmtId="1" fontId="2" fillId="26" borderId="197" xfId="0" applyNumberFormat="1" applyFont="1" applyFill="1" applyBorder="1" applyAlignment="1" applyProtection="1">
      <alignment horizontal="center"/>
      <protection hidden="1"/>
    </xf>
    <xf numFmtId="0" fontId="0" fillId="0" borderId="194" xfId="0" applyBorder="1" applyAlignment="1">
      <alignment horizontal="center"/>
    </xf>
    <xf numFmtId="0" fontId="0" fillId="0" borderId="195" xfId="0" applyBorder="1" applyAlignment="1">
      <alignment horizontal="center"/>
    </xf>
    <xf numFmtId="0" fontId="0" fillId="0" borderId="197" xfId="0" applyBorder="1" applyAlignment="1">
      <alignment horizontal="center"/>
    </xf>
    <xf numFmtId="0" fontId="0" fillId="42" borderId="195" xfId="0" applyFill="1" applyBorder="1" applyAlignment="1">
      <alignment horizontal="center"/>
    </xf>
    <xf numFmtId="0" fontId="0" fillId="0" borderId="199" xfId="0" applyBorder="1" applyAlignment="1">
      <alignment horizontal="center"/>
    </xf>
    <xf numFmtId="0" fontId="0" fillId="42" borderId="199" xfId="0" applyFill="1" applyBorder="1" applyAlignment="1">
      <alignment horizontal="center"/>
    </xf>
    <xf numFmtId="0" fontId="0" fillId="0" borderId="200" xfId="0" applyBorder="1" applyAlignment="1">
      <alignment horizontal="center"/>
    </xf>
    <xf numFmtId="0" fontId="0" fillId="0" borderId="201" xfId="0" applyBorder="1" applyAlignment="1">
      <alignment horizontal="center" vertical="center"/>
    </xf>
    <xf numFmtId="0" fontId="0" fillId="0" borderId="202" xfId="0" applyBorder="1" applyAlignment="1">
      <alignment horizontal="center" vertical="center"/>
    </xf>
    <xf numFmtId="0" fontId="0" fillId="0" borderId="202" xfId="0" applyBorder="1" applyAlignment="1">
      <alignment horizontal="center"/>
    </xf>
    <xf numFmtId="0" fontId="0" fillId="0" borderId="203" xfId="0" applyBorder="1" applyAlignment="1">
      <alignment horizontal="center"/>
    </xf>
    <xf numFmtId="0" fontId="0" fillId="0" borderId="201" xfId="0" applyBorder="1" applyAlignment="1">
      <alignment horizontal="center"/>
    </xf>
    <xf numFmtId="0" fontId="0" fillId="0" borderId="196" xfId="0" applyBorder="1" applyAlignment="1">
      <alignment horizontal="center"/>
    </xf>
    <xf numFmtId="0" fontId="0" fillId="42" borderId="201" xfId="0" applyFill="1" applyBorder="1" applyAlignment="1">
      <alignment horizontal="center"/>
    </xf>
    <xf numFmtId="0" fontId="0" fillId="42" borderId="202" xfId="0" applyFill="1" applyBorder="1" applyAlignment="1">
      <alignment horizontal="center"/>
    </xf>
    <xf numFmtId="0" fontId="0" fillId="42" borderId="203" xfId="0" applyFill="1" applyBorder="1" applyAlignment="1">
      <alignment horizontal="center"/>
    </xf>
    <xf numFmtId="0" fontId="0" fillId="0" borderId="204" xfId="0" applyBorder="1" applyAlignment="1">
      <alignment horizontal="center" vertical="center"/>
    </xf>
    <xf numFmtId="0" fontId="0" fillId="42" borderId="204" xfId="0" applyFill="1" applyBorder="1" applyAlignment="1">
      <alignment horizontal="center"/>
    </xf>
    <xf numFmtId="0" fontId="0" fillId="0" borderId="204" xfId="0" applyBorder="1" applyAlignment="1">
      <alignment horizontal="center"/>
    </xf>
    <xf numFmtId="0" fontId="0" fillId="0" borderId="205" xfId="0" applyBorder="1" applyAlignment="1">
      <alignment horizontal="center"/>
    </xf>
    <xf numFmtId="0" fontId="2" fillId="0" borderId="206" xfId="0" applyFont="1" applyBorder="1" applyAlignment="1">
      <alignment horizontal="center"/>
    </xf>
    <xf numFmtId="166" fontId="2" fillId="27" borderId="206" xfId="0" applyNumberFormat="1" applyFont="1" applyFill="1" applyBorder="1" applyAlignment="1" applyProtection="1">
      <alignment horizontal="center"/>
      <protection hidden="1"/>
    </xf>
    <xf numFmtId="166" fontId="2" fillId="27" borderId="207" xfId="0" applyNumberFormat="1" applyFont="1" applyFill="1" applyBorder="1" applyAlignment="1" applyProtection="1">
      <alignment horizontal="center"/>
      <protection hidden="1"/>
    </xf>
    <xf numFmtId="0" fontId="2" fillId="0" borderId="209" xfId="0" applyFont="1" applyBorder="1" applyAlignment="1">
      <alignment horizontal="center"/>
    </xf>
    <xf numFmtId="0" fontId="2" fillId="0" borderId="210" xfId="0" applyFont="1" applyBorder="1" applyAlignment="1">
      <alignment horizontal="center"/>
    </xf>
    <xf numFmtId="0" fontId="2" fillId="0" borderId="208" xfId="0" applyFont="1" applyBorder="1" applyAlignment="1">
      <alignment horizontal="left" vertical="center"/>
    </xf>
    <xf numFmtId="0" fontId="2" fillId="38" borderId="211" xfId="0" applyFont="1" applyFill="1" applyBorder="1" applyAlignment="1">
      <alignment horizontal="left" vertical="center"/>
    </xf>
    <xf numFmtId="0" fontId="2" fillId="38" borderId="212" xfId="0" applyFont="1" applyFill="1" applyBorder="1" applyAlignment="1">
      <alignment horizontal="center"/>
    </xf>
    <xf numFmtId="0" fontId="2" fillId="38" borderId="213" xfId="0" applyFont="1" applyFill="1" applyBorder="1" applyAlignment="1">
      <alignment horizontal="center"/>
    </xf>
    <xf numFmtId="0" fontId="2" fillId="0" borderId="179" xfId="0" applyFont="1" applyBorder="1" applyAlignment="1">
      <alignment horizontal="left" vertical="center"/>
    </xf>
    <xf numFmtId="0" fontId="2" fillId="0" borderId="214" xfId="0" applyFont="1" applyBorder="1" applyAlignment="1">
      <alignment horizontal="center"/>
    </xf>
    <xf numFmtId="0" fontId="2" fillId="0" borderId="215" xfId="0" applyFont="1" applyBorder="1" applyAlignment="1">
      <alignment horizontal="center"/>
    </xf>
    <xf numFmtId="0" fontId="0" fillId="37" borderId="58" xfId="0" applyFill="1" applyBorder="1"/>
    <xf numFmtId="0" fontId="0" fillId="37" borderId="47" xfId="0" applyFill="1" applyBorder="1"/>
    <xf numFmtId="0" fontId="2" fillId="37" borderId="58" xfId="0" applyFont="1" applyFill="1" applyBorder="1"/>
    <xf numFmtId="0" fontId="2" fillId="0" borderId="216" xfId="0" applyFont="1" applyBorder="1" applyAlignment="1">
      <alignment horizontal="center"/>
    </xf>
    <xf numFmtId="0" fontId="2" fillId="0" borderId="217" xfId="0" applyFont="1" applyBorder="1" applyAlignment="1">
      <alignment horizontal="center"/>
    </xf>
    <xf numFmtId="0" fontId="2" fillId="0" borderId="218" xfId="0" applyFont="1" applyBorder="1" applyAlignment="1">
      <alignment horizontal="center"/>
    </xf>
    <xf numFmtId="166" fontId="2" fillId="27" borderId="216" xfId="0" applyNumberFormat="1" applyFont="1" applyFill="1" applyBorder="1" applyAlignment="1" applyProtection="1">
      <alignment horizontal="center"/>
      <protection hidden="1"/>
    </xf>
    <xf numFmtId="0" fontId="2" fillId="26" borderId="217" xfId="0" applyFont="1" applyFill="1" applyBorder="1" applyAlignment="1">
      <alignment horizontal="center"/>
    </xf>
    <xf numFmtId="0" fontId="2" fillId="26" borderId="218" xfId="0" applyFont="1" applyFill="1" applyBorder="1" applyAlignment="1">
      <alignment horizontal="center"/>
    </xf>
    <xf numFmtId="0" fontId="2" fillId="26" borderId="210" xfId="0" applyFont="1" applyFill="1" applyBorder="1" applyAlignment="1">
      <alignment horizontal="center"/>
    </xf>
    <xf numFmtId="1" fontId="2" fillId="26" borderId="217" xfId="0" applyNumberFormat="1" applyFont="1" applyFill="1" applyBorder="1" applyAlignment="1" applyProtection="1">
      <alignment horizontal="center"/>
      <protection hidden="1"/>
    </xf>
    <xf numFmtId="1" fontId="2" fillId="26" borderId="218" xfId="0" applyNumberFormat="1" applyFont="1" applyFill="1" applyBorder="1" applyAlignment="1" applyProtection="1">
      <alignment horizontal="center"/>
      <protection hidden="1"/>
    </xf>
    <xf numFmtId="1" fontId="2" fillId="26" borderId="210" xfId="0" applyNumberFormat="1" applyFont="1" applyFill="1" applyBorder="1" applyAlignment="1" applyProtection="1">
      <alignment horizontal="center"/>
      <protection hidden="1"/>
    </xf>
    <xf numFmtId="1" fontId="2" fillId="26" borderId="200" xfId="0" applyNumberFormat="1" applyFont="1" applyFill="1" applyBorder="1" applyAlignment="1" applyProtection="1">
      <alignment horizontal="center"/>
      <protection hidden="1"/>
    </xf>
    <xf numFmtId="1" fontId="2" fillId="26" borderId="55" xfId="0" applyNumberFormat="1" applyFont="1" applyFill="1" applyBorder="1" applyAlignment="1" applyProtection="1">
      <alignment horizontal="center"/>
      <protection hidden="1"/>
    </xf>
    <xf numFmtId="0" fontId="2" fillId="27" borderId="217" xfId="0" applyFont="1" applyFill="1" applyBorder="1" applyAlignment="1">
      <alignment horizontal="center" wrapText="1"/>
    </xf>
    <xf numFmtId="0" fontId="2" fillId="27" borderId="216" xfId="0" applyFont="1" applyFill="1" applyBorder="1" applyAlignment="1">
      <alignment horizontal="center" wrapText="1"/>
    </xf>
    <xf numFmtId="0" fontId="2" fillId="0" borderId="219" xfId="0" applyFont="1" applyBorder="1" applyAlignment="1">
      <alignment horizontal="left" vertical="center"/>
    </xf>
    <xf numFmtId="166" fontId="2" fillId="27" borderId="217" xfId="0" applyNumberFormat="1" applyFont="1" applyFill="1" applyBorder="1" applyAlignment="1" applyProtection="1">
      <alignment horizontal="center"/>
      <protection hidden="1"/>
    </xf>
    <xf numFmtId="0" fontId="2" fillId="38" borderId="219" xfId="0" applyFont="1" applyFill="1" applyBorder="1" applyAlignment="1">
      <alignment horizontal="left" vertical="center"/>
    </xf>
    <xf numFmtId="0" fontId="2" fillId="0" borderId="220" xfId="0" applyFont="1" applyBorder="1" applyAlignment="1">
      <alignment horizontal="left" vertical="center"/>
    </xf>
    <xf numFmtId="0" fontId="0" fillId="37" borderId="62" xfId="0" applyFill="1" applyBorder="1"/>
    <xf numFmtId="0" fontId="0" fillId="37" borderId="37" xfId="0" applyFill="1" applyBorder="1"/>
    <xf numFmtId="0" fontId="0" fillId="37" borderId="57" xfId="0" applyFill="1" applyBorder="1"/>
    <xf numFmtId="0" fontId="5" fillId="31" borderId="19" xfId="0" applyFont="1" applyFill="1" applyBorder="1" applyAlignment="1">
      <alignment horizontal="center"/>
    </xf>
    <xf numFmtId="0" fontId="5" fillId="31" borderId="20" xfId="0" applyFont="1" applyFill="1" applyBorder="1" applyAlignment="1">
      <alignment horizontal="center"/>
    </xf>
    <xf numFmtId="0" fontId="4" fillId="34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0" borderId="117" xfId="0" applyFont="1" applyBorder="1" applyAlignment="1">
      <alignment horizontal="center"/>
    </xf>
    <xf numFmtId="0" fontId="2" fillId="0" borderId="118" xfId="0" applyFont="1" applyBorder="1" applyAlignment="1">
      <alignment horizontal="center"/>
    </xf>
    <xf numFmtId="0" fontId="2" fillId="0" borderId="105" xfId="0" applyFont="1" applyBorder="1" applyAlignment="1">
      <alignment horizontal="center"/>
    </xf>
    <xf numFmtId="0" fontId="2" fillId="0" borderId="119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5" fillId="31" borderId="24" xfId="0" applyFont="1" applyFill="1" applyBorder="1" applyAlignment="1">
      <alignment horizontal="center"/>
    </xf>
    <xf numFmtId="0" fontId="5" fillId="31" borderId="25" xfId="0" applyFont="1" applyFill="1" applyBorder="1" applyAlignment="1">
      <alignment horizontal="center"/>
    </xf>
    <xf numFmtId="0" fontId="5" fillId="31" borderId="26" xfId="0" applyFont="1" applyFill="1" applyBorder="1" applyAlignment="1">
      <alignment horizontal="center"/>
    </xf>
    <xf numFmtId="0" fontId="5" fillId="31" borderId="21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4" fillId="34" borderId="0" xfId="45" applyFont="1" applyFill="1" applyAlignment="1">
      <alignment horizontal="center"/>
    </xf>
    <xf numFmtId="0" fontId="4" fillId="0" borderId="0" xfId="45" applyFont="1" applyAlignment="1">
      <alignment horizontal="center"/>
    </xf>
    <xf numFmtId="0" fontId="2" fillId="0" borderId="11" xfId="45" applyFont="1" applyBorder="1" applyAlignment="1">
      <alignment horizontal="center"/>
    </xf>
    <xf numFmtId="0" fontId="2" fillId="0" borderId="14" xfId="45" applyFont="1" applyBorder="1" applyAlignment="1">
      <alignment horizontal="center"/>
    </xf>
    <xf numFmtId="0" fontId="2" fillId="0" borderId="120" xfId="0" applyFont="1" applyBorder="1" applyAlignment="1">
      <alignment horizontal="center"/>
    </xf>
    <xf numFmtId="0" fontId="2" fillId="0" borderId="121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141" xfId="0" applyFont="1" applyBorder="1" applyAlignment="1">
      <alignment horizontal="center"/>
    </xf>
    <xf numFmtId="0" fontId="2" fillId="0" borderId="122" xfId="0" applyFont="1" applyBorder="1" applyAlignment="1">
      <alignment horizontal="center"/>
    </xf>
    <xf numFmtId="0" fontId="2" fillId="0" borderId="105" xfId="0" applyFont="1" applyBorder="1" applyAlignment="1">
      <alignment horizontal="center" vertical="center"/>
    </xf>
    <xf numFmtId="0" fontId="2" fillId="0" borderId="109" xfId="0" applyFont="1" applyBorder="1" applyAlignment="1">
      <alignment horizontal="center" vertical="center"/>
    </xf>
    <xf numFmtId="0" fontId="2" fillId="0" borderId="106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25" borderId="123" xfId="0" applyFont="1" applyFill="1" applyBorder="1" applyAlignment="1">
      <alignment horizontal="center"/>
    </xf>
    <xf numFmtId="0" fontId="2" fillId="25" borderId="12" xfId="0" applyFont="1" applyFill="1" applyBorder="1" applyAlignment="1">
      <alignment horizontal="center"/>
    </xf>
    <xf numFmtId="0" fontId="2" fillId="25" borderId="124" xfId="0" applyFont="1" applyFill="1" applyBorder="1" applyAlignment="1">
      <alignment horizontal="center"/>
    </xf>
    <xf numFmtId="0" fontId="2" fillId="27" borderId="11" xfId="0" applyFont="1" applyFill="1" applyBorder="1" applyAlignment="1">
      <alignment horizontal="center"/>
    </xf>
    <xf numFmtId="0" fontId="2" fillId="27" borderId="121" xfId="0" applyFont="1" applyFill="1" applyBorder="1" applyAlignment="1">
      <alignment horizontal="center"/>
    </xf>
    <xf numFmtId="0" fontId="2" fillId="27" borderId="125" xfId="0" applyFont="1" applyFill="1" applyBorder="1" applyAlignment="1">
      <alignment horizontal="center"/>
    </xf>
    <xf numFmtId="0" fontId="2" fillId="26" borderId="126" xfId="0" applyFont="1" applyFill="1" applyBorder="1" applyAlignment="1">
      <alignment horizontal="center"/>
    </xf>
    <xf numFmtId="0" fontId="2" fillId="26" borderId="117" xfId="0" applyFont="1" applyFill="1" applyBorder="1" applyAlignment="1">
      <alignment horizontal="center"/>
    </xf>
    <xf numFmtId="0" fontId="2" fillId="26" borderId="118" xfId="0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25" borderId="117" xfId="0" applyFont="1" applyFill="1" applyBorder="1" applyAlignment="1">
      <alignment horizontal="center"/>
    </xf>
    <xf numFmtId="0" fontId="2" fillId="0" borderId="109" xfId="0" applyFont="1" applyBorder="1" applyAlignment="1">
      <alignment horizontal="center"/>
    </xf>
    <xf numFmtId="0" fontId="2" fillId="27" borderId="127" xfId="0" applyFont="1" applyFill="1" applyBorder="1" applyAlignment="1">
      <alignment horizontal="center"/>
    </xf>
    <xf numFmtId="0" fontId="2" fillId="27" borderId="115" xfId="0" applyFont="1" applyFill="1" applyBorder="1" applyAlignment="1">
      <alignment horizontal="center"/>
    </xf>
    <xf numFmtId="0" fontId="2" fillId="25" borderId="48" xfId="0" applyFont="1" applyFill="1" applyBorder="1" applyAlignment="1">
      <alignment horizontal="center"/>
    </xf>
    <xf numFmtId="0" fontId="2" fillId="25" borderId="127" xfId="0" applyFont="1" applyFill="1" applyBorder="1" applyAlignment="1">
      <alignment horizontal="center"/>
    </xf>
    <xf numFmtId="0" fontId="2" fillId="27" borderId="121" xfId="0" applyFont="1" applyFill="1" applyBorder="1" applyAlignment="1">
      <alignment horizontal="left"/>
    </xf>
    <xf numFmtId="0" fontId="2" fillId="27" borderId="125" xfId="0" applyFont="1" applyFill="1" applyBorder="1" applyAlignment="1">
      <alignment horizontal="left"/>
    </xf>
    <xf numFmtId="0" fontId="5" fillId="31" borderId="19" xfId="45" applyFont="1" applyFill="1" applyBorder="1" applyAlignment="1">
      <alignment horizontal="center"/>
    </xf>
    <xf numFmtId="0" fontId="5" fillId="31" borderId="20" xfId="45" applyFont="1" applyFill="1" applyBorder="1" applyAlignment="1">
      <alignment horizontal="center"/>
    </xf>
    <xf numFmtId="0" fontId="5" fillId="31" borderId="21" xfId="45" applyFont="1" applyFill="1" applyBorder="1" applyAlignment="1">
      <alignment horizontal="center"/>
    </xf>
    <xf numFmtId="0" fontId="5" fillId="31" borderId="155" xfId="45" applyFont="1" applyFill="1" applyBorder="1" applyAlignment="1">
      <alignment horizontal="center"/>
    </xf>
    <xf numFmtId="0" fontId="5" fillId="31" borderId="156" xfId="45" applyFont="1" applyFill="1" applyBorder="1" applyAlignment="1">
      <alignment horizontal="center"/>
    </xf>
    <xf numFmtId="0" fontId="5" fillId="31" borderId="157" xfId="45" applyFont="1" applyFill="1" applyBorder="1" applyAlignment="1">
      <alignment horizont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58" xfId="0" applyFont="1" applyBorder="1" applyAlignment="1">
      <alignment horizontal="center" vertical="center"/>
    </xf>
    <xf numFmtId="0" fontId="2" fillId="0" borderId="121" xfId="0" applyFont="1" applyBorder="1" applyAlignment="1">
      <alignment horizontal="center" vertical="center" wrapText="1"/>
    </xf>
    <xf numFmtId="0" fontId="2" fillId="0" borderId="118" xfId="0" applyFont="1" applyBorder="1" applyAlignment="1">
      <alignment horizontal="center" vertical="center" wrapText="1"/>
    </xf>
    <xf numFmtId="0" fontId="2" fillId="38" borderId="159" xfId="0" applyFont="1" applyFill="1" applyBorder="1" applyAlignment="1">
      <alignment horizontal="center"/>
    </xf>
    <xf numFmtId="0" fontId="2" fillId="38" borderId="160" xfId="0" applyFont="1" applyFill="1" applyBorder="1" applyAlignment="1">
      <alignment horizontal="center"/>
    </xf>
    <xf numFmtId="0" fontId="2" fillId="38" borderId="161" xfId="0" applyFont="1" applyFill="1" applyBorder="1" applyAlignment="1">
      <alignment horizontal="center"/>
    </xf>
    <xf numFmtId="166" fontId="2" fillId="27" borderId="162" xfId="0" applyNumberFormat="1" applyFont="1" applyFill="1" applyBorder="1" applyAlignment="1" applyProtection="1">
      <alignment horizontal="center"/>
      <protection hidden="1"/>
    </xf>
    <xf numFmtId="166" fontId="2" fillId="27" borderId="163" xfId="0" applyNumberFormat="1" applyFont="1" applyFill="1" applyBorder="1" applyAlignment="1" applyProtection="1">
      <alignment horizontal="center"/>
      <protection hidden="1"/>
    </xf>
    <xf numFmtId="0" fontId="2" fillId="0" borderId="159" xfId="0" applyFont="1" applyBorder="1" applyAlignment="1">
      <alignment horizontal="center"/>
    </xf>
    <xf numFmtId="0" fontId="2" fillId="0" borderId="160" xfId="0" applyFont="1" applyBorder="1" applyAlignment="1">
      <alignment horizontal="center"/>
    </xf>
    <xf numFmtId="0" fontId="2" fillId="0" borderId="161" xfId="0" applyFont="1" applyBorder="1" applyAlignment="1">
      <alignment horizontal="center"/>
    </xf>
    <xf numFmtId="0" fontId="2" fillId="0" borderId="164" xfId="0" applyFont="1" applyBorder="1" applyAlignment="1">
      <alignment horizontal="center"/>
    </xf>
    <xf numFmtId="0" fontId="2" fillId="0" borderId="165" xfId="0" applyFont="1" applyBorder="1" applyAlignment="1">
      <alignment horizontal="center"/>
    </xf>
    <xf numFmtId="0" fontId="2" fillId="0" borderId="166" xfId="0" applyFont="1" applyBorder="1" applyAlignment="1">
      <alignment horizontal="center"/>
    </xf>
    <xf numFmtId="166" fontId="2" fillId="27" borderId="167" xfId="0" applyNumberFormat="1" applyFont="1" applyFill="1" applyBorder="1" applyAlignment="1" applyProtection="1">
      <alignment horizontal="center"/>
      <protection hidden="1"/>
    </xf>
    <xf numFmtId="166" fontId="2" fillId="27" borderId="168" xfId="0" applyNumberFormat="1" applyFont="1" applyFill="1" applyBorder="1" applyAlignment="1" applyProtection="1">
      <alignment horizontal="center"/>
      <protection hidden="1"/>
    </xf>
    <xf numFmtId="0" fontId="2" fillId="38" borderId="11" xfId="0" applyFont="1" applyFill="1" applyBorder="1" applyAlignment="1">
      <alignment horizontal="center"/>
    </xf>
    <xf numFmtId="0" fontId="2" fillId="38" borderId="12" xfId="0" applyFont="1" applyFill="1" applyBorder="1" applyAlignment="1">
      <alignment horizontal="center"/>
    </xf>
    <xf numFmtId="0" fontId="2" fillId="38" borderId="13" xfId="0" applyFont="1" applyFill="1" applyBorder="1" applyAlignment="1">
      <alignment horizontal="center"/>
    </xf>
    <xf numFmtId="0" fontId="2" fillId="0" borderId="169" xfId="0" applyFont="1" applyBorder="1" applyAlignment="1">
      <alignment horizontal="center"/>
    </xf>
    <xf numFmtId="0" fontId="2" fillId="0" borderId="170" xfId="0" applyFont="1" applyBorder="1" applyAlignment="1">
      <alignment horizontal="center"/>
    </xf>
    <xf numFmtId="0" fontId="2" fillId="0" borderId="171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166" fontId="2" fillId="27" borderId="170" xfId="0" applyNumberFormat="1" applyFont="1" applyFill="1" applyBorder="1" applyAlignment="1" applyProtection="1">
      <alignment horizontal="center"/>
      <protection hidden="1"/>
    </xf>
    <xf numFmtId="166" fontId="2" fillId="27" borderId="172" xfId="0" applyNumberFormat="1" applyFont="1" applyFill="1" applyBorder="1" applyAlignment="1" applyProtection="1">
      <alignment horizontal="center"/>
      <protection hidden="1"/>
    </xf>
    <xf numFmtId="0" fontId="0" fillId="0" borderId="162" xfId="0" applyBorder="1" applyAlignment="1">
      <alignment horizontal="center"/>
    </xf>
    <xf numFmtId="0" fontId="0" fillId="0" borderId="163" xfId="0" applyBorder="1" applyAlignment="1">
      <alignment horizontal="center"/>
    </xf>
    <xf numFmtId="166" fontId="2" fillId="27" borderId="173" xfId="0" applyNumberFormat="1" applyFont="1" applyFill="1" applyBorder="1" applyAlignment="1" applyProtection="1">
      <alignment horizontal="center"/>
      <protection hidden="1"/>
    </xf>
    <xf numFmtId="166" fontId="2" fillId="27" borderId="174" xfId="0" applyNumberFormat="1" applyFont="1" applyFill="1" applyBorder="1" applyAlignment="1" applyProtection="1">
      <alignment horizontal="center"/>
      <protection hidden="1"/>
    </xf>
    <xf numFmtId="0" fontId="0" fillId="0" borderId="167" xfId="0" applyBorder="1" applyAlignment="1">
      <alignment horizontal="center"/>
    </xf>
    <xf numFmtId="0" fontId="0" fillId="0" borderId="168" xfId="0" applyBorder="1" applyAlignment="1">
      <alignment horizontal="center"/>
    </xf>
    <xf numFmtId="0" fontId="1" fillId="0" borderId="169" xfId="0" applyFont="1" applyBorder="1" applyAlignment="1">
      <alignment horizontal="center"/>
    </xf>
    <xf numFmtId="0" fontId="1" fillId="0" borderId="170" xfId="0" applyFont="1" applyBorder="1" applyAlignment="1">
      <alignment horizontal="center"/>
    </xf>
    <xf numFmtId="0" fontId="0" fillId="0" borderId="171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1" fillId="38" borderId="11" xfId="0" applyFont="1" applyFill="1" applyBorder="1" applyAlignment="1">
      <alignment horizontal="center"/>
    </xf>
    <xf numFmtId="0" fontId="0" fillId="38" borderId="12" xfId="0" applyFill="1" applyBorder="1" applyAlignment="1">
      <alignment horizontal="center"/>
    </xf>
    <xf numFmtId="0" fontId="0" fillId="38" borderId="13" xfId="0" applyFill="1" applyBorder="1" applyAlignment="1">
      <alignment horizontal="center"/>
    </xf>
    <xf numFmtId="0" fontId="5" fillId="31" borderId="23" xfId="0" applyFont="1" applyFill="1" applyBorder="1" applyAlignment="1">
      <alignment horizontal="center"/>
    </xf>
    <xf numFmtId="0" fontId="5" fillId="31" borderId="0" xfId="0" applyFont="1" applyFill="1" applyAlignment="1">
      <alignment horizontal="center"/>
    </xf>
    <xf numFmtId="0" fontId="5" fillId="31" borderId="22" xfId="0" applyFont="1" applyFill="1" applyBorder="1" applyAlignment="1">
      <alignment horizontal="center"/>
    </xf>
    <xf numFmtId="0" fontId="2" fillId="0" borderId="71" xfId="0" applyFont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47" xfId="0" applyFont="1" applyBorder="1" applyAlignment="1">
      <alignment horizontal="center"/>
    </xf>
    <xf numFmtId="0" fontId="2" fillId="32" borderId="62" xfId="0" applyFont="1" applyFill="1" applyBorder="1" applyAlignment="1">
      <alignment horizontal="center"/>
    </xf>
    <xf numFmtId="0" fontId="2" fillId="32" borderId="57" xfId="0" applyFont="1" applyFill="1" applyBorder="1" applyAlignment="1">
      <alignment horizontal="center"/>
    </xf>
    <xf numFmtId="0" fontId="2" fillId="31" borderId="62" xfId="0" applyFont="1" applyFill="1" applyBorder="1" applyAlignment="1">
      <alignment horizontal="center"/>
    </xf>
    <xf numFmtId="0" fontId="2" fillId="31" borderId="37" xfId="0" applyFont="1" applyFill="1" applyBorder="1" applyAlignment="1">
      <alignment horizontal="center"/>
    </xf>
    <xf numFmtId="0" fontId="2" fillId="31" borderId="57" xfId="0" applyFont="1" applyFill="1" applyBorder="1" applyAlignment="1">
      <alignment horizontal="center"/>
    </xf>
    <xf numFmtId="0" fontId="2" fillId="24" borderId="62" xfId="0" applyFont="1" applyFill="1" applyBorder="1" applyAlignment="1">
      <alignment horizontal="center"/>
    </xf>
    <xf numFmtId="0" fontId="2" fillId="24" borderId="37" xfId="0" applyFont="1" applyFill="1" applyBorder="1" applyAlignment="1">
      <alignment horizontal="center"/>
    </xf>
    <xf numFmtId="0" fontId="2" fillId="24" borderId="57" xfId="0" applyFont="1" applyFill="1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70" xfId="0" applyBorder="1" applyAlignment="1">
      <alignment horizontal="center"/>
    </xf>
    <xf numFmtId="0" fontId="2" fillId="0" borderId="73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2" fillId="0" borderId="128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81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0" borderId="97" xfId="0" applyFont="1" applyBorder="1" applyAlignment="1">
      <alignment horizontal="center"/>
    </xf>
    <xf numFmtId="0" fontId="31" fillId="27" borderId="10" xfId="0" applyFont="1" applyFill="1" applyBorder="1" applyAlignment="1">
      <alignment horizontal="center"/>
    </xf>
    <xf numFmtId="0" fontId="31" fillId="27" borderId="51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4" xfId="0" applyBorder="1" applyAlignment="1">
      <alignment horizontal="center"/>
    </xf>
    <xf numFmtId="0" fontId="2" fillId="0" borderId="61" xfId="0" applyFont="1" applyBorder="1" applyAlignment="1">
      <alignment horizontal="center"/>
    </xf>
    <xf numFmtId="1" fontId="2" fillId="0" borderId="46" xfId="0" quotePrefix="1" applyNumberFormat="1" applyFont="1" applyBorder="1" applyAlignment="1">
      <alignment horizontal="center"/>
    </xf>
    <xf numFmtId="1" fontId="2" fillId="0" borderId="36" xfId="0" quotePrefix="1" applyNumberFormat="1" applyFont="1" applyBorder="1" applyAlignment="1">
      <alignment horizontal="center"/>
    </xf>
    <xf numFmtId="1" fontId="2" fillId="0" borderId="114" xfId="0" quotePrefix="1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2" fillId="31" borderId="71" xfId="0" applyFont="1" applyFill="1" applyBorder="1" applyAlignment="1">
      <alignment horizontal="center"/>
    </xf>
    <xf numFmtId="0" fontId="2" fillId="31" borderId="72" xfId="0" applyFont="1" applyFill="1" applyBorder="1" applyAlignment="1">
      <alignment horizontal="center"/>
    </xf>
    <xf numFmtId="0" fontId="2" fillId="31" borderId="70" xfId="0" applyFont="1" applyFill="1" applyBorder="1" applyAlignment="1">
      <alignment horizontal="center"/>
    </xf>
    <xf numFmtId="0" fontId="2" fillId="0" borderId="102" xfId="0" applyFont="1" applyBorder="1" applyAlignment="1">
      <alignment horizontal="center"/>
    </xf>
    <xf numFmtId="0" fontId="2" fillId="0" borderId="129" xfId="0" applyFont="1" applyBorder="1" applyAlignment="1">
      <alignment horizontal="center"/>
    </xf>
    <xf numFmtId="0" fontId="2" fillId="0" borderId="130" xfId="0" applyFont="1" applyBorder="1" applyAlignment="1">
      <alignment horizontal="center"/>
    </xf>
    <xf numFmtId="0" fontId="2" fillId="0" borderId="131" xfId="0" applyFont="1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79" xfId="0" applyBorder="1" applyAlignment="1">
      <alignment horizontal="center"/>
    </xf>
    <xf numFmtId="0" fontId="2" fillId="24" borderId="71" xfId="0" applyFont="1" applyFill="1" applyBorder="1" applyAlignment="1">
      <alignment horizontal="center"/>
    </xf>
    <xf numFmtId="0" fontId="2" fillId="24" borderId="72" xfId="0" applyFont="1" applyFill="1" applyBorder="1" applyAlignment="1">
      <alignment horizontal="center"/>
    </xf>
    <xf numFmtId="0" fontId="2" fillId="0" borderId="124" xfId="0" applyFont="1" applyBorder="1" applyAlignment="1">
      <alignment horizontal="center"/>
    </xf>
    <xf numFmtId="0" fontId="5" fillId="31" borderId="80" xfId="0" applyFont="1" applyFill="1" applyBorder="1" applyAlignment="1">
      <alignment horizontal="center"/>
    </xf>
    <xf numFmtId="0" fontId="5" fillId="31" borderId="79" xfId="0" applyFont="1" applyFill="1" applyBorder="1" applyAlignment="1">
      <alignment horizontal="center"/>
    </xf>
    <xf numFmtId="0" fontId="5" fillId="31" borderId="78" xfId="0" applyFont="1" applyFill="1" applyBorder="1" applyAlignment="1">
      <alignment horizontal="center"/>
    </xf>
    <xf numFmtId="0" fontId="5" fillId="31" borderId="221" xfId="0" applyFont="1" applyFill="1" applyBorder="1" applyAlignment="1">
      <alignment horizontal="center"/>
    </xf>
    <xf numFmtId="0" fontId="5" fillId="31" borderId="198" xfId="0" applyFont="1" applyFill="1" applyBorder="1" applyAlignment="1">
      <alignment horizontal="center"/>
    </xf>
    <xf numFmtId="0" fontId="5" fillId="31" borderId="222" xfId="0" applyFont="1" applyFill="1" applyBorder="1" applyAlignment="1">
      <alignment horizontal="center"/>
    </xf>
    <xf numFmtId="0" fontId="0" fillId="42" borderId="191" xfId="0" applyFill="1" applyBorder="1" applyAlignment="1">
      <alignment horizontal="center"/>
    </xf>
    <xf numFmtId="0" fontId="0" fillId="42" borderId="192" xfId="0" applyFill="1" applyBorder="1" applyAlignment="1">
      <alignment horizontal="center"/>
    </xf>
    <xf numFmtId="0" fontId="0" fillId="42" borderId="182" xfId="0" applyFill="1" applyBorder="1" applyAlignment="1">
      <alignment horizontal="center"/>
    </xf>
    <xf numFmtId="0" fontId="0" fillId="42" borderId="193" xfId="0" applyFill="1" applyBorder="1" applyAlignment="1">
      <alignment horizontal="center"/>
    </xf>
    <xf numFmtId="0" fontId="0" fillId="42" borderId="81" xfId="0" applyFill="1" applyBorder="1" applyAlignment="1">
      <alignment horizontal="center"/>
    </xf>
    <xf numFmtId="0" fontId="0" fillId="42" borderId="97" xfId="0" applyFill="1" applyBorder="1" applyAlignment="1">
      <alignment horizontal="center"/>
    </xf>
    <xf numFmtId="0" fontId="0" fillId="0" borderId="108" xfId="0" applyBorder="1" applyAlignment="1">
      <alignment horizontal="center" vertical="center"/>
    </xf>
    <xf numFmtId="0" fontId="1" fillId="0" borderId="11" xfId="0" applyFont="1" applyBorder="1" applyAlignment="1">
      <alignment horizontal="center"/>
    </xf>
    <xf numFmtId="0" fontId="0" fillId="0" borderId="12" xfId="0" applyBorder="1" applyAlignment="1">
      <alignment horizontal="center"/>
    </xf>
    <xf numFmtId="166" fontId="2" fillId="39" borderId="11" xfId="0" applyNumberFormat="1" applyFont="1" applyFill="1" applyBorder="1" applyAlignment="1" applyProtection="1">
      <alignment horizontal="center"/>
      <protection hidden="1"/>
    </xf>
    <xf numFmtId="166" fontId="2" fillId="39" borderId="13" xfId="0" applyNumberFormat="1" applyFont="1" applyFill="1" applyBorder="1" applyAlignment="1" applyProtection="1">
      <alignment horizontal="center"/>
      <protection hidden="1"/>
    </xf>
    <xf numFmtId="166" fontId="2" fillId="39" borderId="197" xfId="0" applyNumberFormat="1" applyFont="1" applyFill="1" applyBorder="1" applyAlignment="1" applyProtection="1">
      <alignment horizontal="center"/>
      <protection hidden="1"/>
    </xf>
    <xf numFmtId="166" fontId="2" fillId="39" borderId="196" xfId="0" applyNumberFormat="1" applyFont="1" applyFill="1" applyBorder="1" applyAlignment="1" applyProtection="1">
      <alignment horizontal="center"/>
      <protection hidden="1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217" xfId="0" applyFont="1" applyBorder="1" applyAlignment="1">
      <alignment horizontal="center"/>
    </xf>
    <xf numFmtId="0" fontId="2" fillId="0" borderId="216" xfId="0" applyFont="1" applyBorder="1" applyAlignment="1">
      <alignment horizontal="center"/>
    </xf>
    <xf numFmtId="0" fontId="2" fillId="0" borderId="126" xfId="0" applyFont="1" applyBorder="1" applyAlignment="1">
      <alignment horizontal="center"/>
    </xf>
    <xf numFmtId="0" fontId="2" fillId="0" borderId="219" xfId="0" applyFont="1" applyBorder="1" applyAlignment="1">
      <alignment horizontal="center"/>
    </xf>
    <xf numFmtId="0" fontId="2" fillId="0" borderId="208" xfId="0" applyFont="1" applyBorder="1" applyAlignment="1">
      <alignment horizontal="center"/>
    </xf>
    <xf numFmtId="0" fontId="0" fillId="0" borderId="121" xfId="0" applyBorder="1" applyAlignment="1">
      <alignment horizontal="center"/>
    </xf>
    <xf numFmtId="0" fontId="0" fillId="0" borderId="201" xfId="0" applyBorder="1" applyAlignment="1">
      <alignment horizontal="center" vertical="center"/>
    </xf>
    <xf numFmtId="0" fontId="0" fillId="0" borderId="202" xfId="0" applyBorder="1" applyAlignment="1">
      <alignment horizontal="center" vertical="center"/>
    </xf>
    <xf numFmtId="0" fontId="1" fillId="0" borderId="29" xfId="0" applyFont="1" applyBorder="1" applyAlignment="1">
      <alignment horizontal="center"/>
    </xf>
    <xf numFmtId="0" fontId="0" fillId="0" borderId="204" xfId="0" applyBorder="1" applyAlignment="1">
      <alignment horizontal="center" vertical="center"/>
    </xf>
    <xf numFmtId="0" fontId="0" fillId="0" borderId="202" xfId="0" applyBorder="1" applyAlignment="1">
      <alignment horizontal="center"/>
    </xf>
    <xf numFmtId="0" fontId="0" fillId="0" borderId="203" xfId="0" applyBorder="1" applyAlignment="1">
      <alignment horizontal="center"/>
    </xf>
    <xf numFmtId="0" fontId="0" fillId="0" borderId="199" xfId="0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27" borderId="34" xfId="0" applyFont="1" applyFill="1" applyBorder="1" applyAlignment="1">
      <alignment horizontal="center"/>
    </xf>
    <xf numFmtId="0" fontId="2" fillId="27" borderId="111" xfId="0" applyFont="1" applyFill="1" applyBorder="1" applyAlignment="1">
      <alignment horizontal="center"/>
    </xf>
    <xf numFmtId="0" fontId="2" fillId="0" borderId="115" xfId="0" applyFont="1" applyBorder="1" applyAlignment="1">
      <alignment horizontal="center"/>
    </xf>
    <xf numFmtId="0" fontId="2" fillId="0" borderId="134" xfId="0" applyFont="1" applyBorder="1" applyAlignment="1">
      <alignment horizontal="center"/>
    </xf>
    <xf numFmtId="0" fontId="2" fillId="0" borderId="116" xfId="0" applyFont="1" applyBorder="1" applyAlignment="1">
      <alignment horizontal="center"/>
    </xf>
    <xf numFmtId="9" fontId="2" fillId="27" borderId="31" xfId="0" applyNumberFormat="1" applyFont="1" applyFill="1" applyBorder="1" applyAlignment="1" applyProtection="1">
      <alignment horizontal="center" vertical="center"/>
      <protection hidden="1"/>
    </xf>
    <xf numFmtId="9" fontId="2" fillId="27" borderId="113" xfId="0" applyNumberFormat="1" applyFont="1" applyFill="1" applyBorder="1" applyAlignment="1" applyProtection="1">
      <alignment horizontal="center" vertical="center"/>
      <protection hidden="1"/>
    </xf>
    <xf numFmtId="9" fontId="2" fillId="27" borderId="28" xfId="0" applyNumberFormat="1" applyFont="1" applyFill="1" applyBorder="1" applyAlignment="1" applyProtection="1">
      <alignment horizontal="center" vertical="center"/>
      <protection hidden="1"/>
    </xf>
    <xf numFmtId="9" fontId="2" fillId="27" borderId="18" xfId="0" applyNumberFormat="1" applyFont="1" applyFill="1" applyBorder="1" applyAlignment="1" applyProtection="1">
      <alignment horizontal="center" vertical="center"/>
      <protection hidden="1"/>
    </xf>
    <xf numFmtId="9" fontId="2" fillId="27" borderId="34" xfId="0" applyNumberFormat="1" applyFont="1" applyFill="1" applyBorder="1" applyAlignment="1" applyProtection="1">
      <alignment horizontal="center" vertical="center"/>
      <protection hidden="1"/>
    </xf>
    <xf numFmtId="9" fontId="2" fillId="27" borderId="111" xfId="0" applyNumberFormat="1" applyFont="1" applyFill="1" applyBorder="1" applyAlignment="1" applyProtection="1">
      <alignment horizontal="center" vertical="center"/>
      <protection hidden="1"/>
    </xf>
    <xf numFmtId="0" fontId="5" fillId="31" borderId="84" xfId="45" applyFont="1" applyFill="1" applyBorder="1" applyAlignment="1">
      <alignment horizontal="center"/>
    </xf>
    <xf numFmtId="0" fontId="5" fillId="31" borderId="37" xfId="45" applyFont="1" applyFill="1" applyBorder="1" applyAlignment="1">
      <alignment horizontal="center"/>
    </xf>
    <xf numFmtId="0" fontId="5" fillId="31" borderId="139" xfId="45" applyFont="1" applyFill="1" applyBorder="1" applyAlignment="1">
      <alignment horizontal="center"/>
    </xf>
    <xf numFmtId="0" fontId="2" fillId="0" borderId="42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/>
    </xf>
    <xf numFmtId="0" fontId="2" fillId="0" borderId="128" xfId="0" applyFont="1" applyBorder="1" applyAlignment="1">
      <alignment horizontal="center" vertical="center" wrapText="1"/>
    </xf>
    <xf numFmtId="0" fontId="2" fillId="0" borderId="129" xfId="0" applyFont="1" applyBorder="1" applyAlignment="1">
      <alignment horizontal="center" vertical="center" wrapText="1"/>
    </xf>
    <xf numFmtId="0" fontId="2" fillId="0" borderId="102" xfId="0" applyFont="1" applyBorder="1" applyAlignment="1">
      <alignment horizontal="center" vertical="center" wrapText="1"/>
    </xf>
    <xf numFmtId="0" fontId="2" fillId="0" borderId="140" xfId="0" applyFont="1" applyBorder="1" applyAlignment="1">
      <alignment horizontal="center" vertical="center" wrapText="1"/>
    </xf>
    <xf numFmtId="166" fontId="2" fillId="38" borderId="142" xfId="0" applyNumberFormat="1" applyFont="1" applyFill="1" applyBorder="1" applyAlignment="1">
      <alignment horizontal="center"/>
    </xf>
    <xf numFmtId="166" fontId="2" fillId="27" borderId="143" xfId="0" applyNumberFormat="1" applyFont="1" applyFill="1" applyBorder="1" applyAlignment="1" applyProtection="1">
      <alignment horizontal="center"/>
      <protection hidden="1"/>
    </xf>
    <xf numFmtId="166" fontId="2" fillId="27" borderId="144" xfId="0" applyNumberFormat="1" applyFont="1" applyFill="1" applyBorder="1" applyAlignment="1" applyProtection="1">
      <alignment horizontal="center"/>
      <protection hidden="1"/>
    </xf>
    <xf numFmtId="166" fontId="2" fillId="40" borderId="142" xfId="0" applyNumberFormat="1" applyFont="1" applyFill="1" applyBorder="1" applyAlignment="1" applyProtection="1">
      <alignment horizontal="center"/>
      <protection hidden="1"/>
    </xf>
    <xf numFmtId="1" fontId="2" fillId="26" borderId="143" xfId="0" applyNumberFormat="1" applyFont="1" applyFill="1" applyBorder="1" applyAlignment="1" applyProtection="1">
      <alignment horizontal="center"/>
      <protection hidden="1"/>
    </xf>
    <xf numFmtId="1" fontId="2" fillId="26" borderId="145" xfId="0" applyNumberFormat="1" applyFont="1" applyFill="1" applyBorder="1" applyAlignment="1" applyProtection="1">
      <alignment horizontal="center"/>
      <protection hidden="1"/>
    </xf>
    <xf numFmtId="166" fontId="2" fillId="0" borderId="142" xfId="0" applyNumberFormat="1" applyFont="1" applyBorder="1" applyAlignment="1">
      <alignment horizontal="center"/>
    </xf>
    <xf numFmtId="0" fontId="0" fillId="38" borderId="73" xfId="0" applyFill="1" applyBorder="1" applyAlignment="1">
      <alignment horizontal="center"/>
    </xf>
    <xf numFmtId="0" fontId="0" fillId="38" borderId="42" xfId="0" applyFill="1" applyBorder="1" applyAlignment="1">
      <alignment horizontal="center"/>
    </xf>
    <xf numFmtId="0" fontId="0" fillId="38" borderId="61" xfId="0" applyFill="1" applyBorder="1" applyAlignment="1">
      <alignment horizontal="center"/>
    </xf>
    <xf numFmtId="166" fontId="2" fillId="0" borderId="17" xfId="0" applyNumberFormat="1" applyFont="1" applyBorder="1" applyAlignment="1">
      <alignment horizontal="center"/>
    </xf>
    <xf numFmtId="166" fontId="2" fillId="27" borderId="53" xfId="0" applyNumberFormat="1" applyFont="1" applyFill="1" applyBorder="1" applyAlignment="1" applyProtection="1">
      <alignment horizontal="center"/>
      <protection hidden="1"/>
    </xf>
    <xf numFmtId="166" fontId="2" fillId="27" borderId="146" xfId="0" applyNumberFormat="1" applyFont="1" applyFill="1" applyBorder="1" applyAlignment="1" applyProtection="1">
      <alignment horizontal="center"/>
      <protection hidden="1"/>
    </xf>
    <xf numFmtId="166" fontId="2" fillId="40" borderId="17" xfId="0" applyNumberFormat="1" applyFont="1" applyFill="1" applyBorder="1" applyAlignment="1" applyProtection="1">
      <alignment horizontal="center"/>
      <protection hidden="1"/>
    </xf>
    <xf numFmtId="1" fontId="2" fillId="26" borderId="53" xfId="0" applyNumberFormat="1" applyFont="1" applyFill="1" applyBorder="1" applyAlignment="1" applyProtection="1">
      <alignment horizontal="center"/>
      <protection hidden="1"/>
    </xf>
    <xf numFmtId="1" fontId="2" fillId="26" borderId="114" xfId="0" applyNumberFormat="1" applyFont="1" applyFill="1" applyBorder="1" applyAlignment="1" applyProtection="1">
      <alignment horizontal="center"/>
      <protection hidden="1"/>
    </xf>
    <xf numFmtId="0" fontId="0" fillId="0" borderId="73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128" xfId="0" applyBorder="1" applyAlignment="1">
      <alignment horizontal="center"/>
    </xf>
    <xf numFmtId="0" fontId="0" fillId="0" borderId="82" xfId="0" applyBorder="1" applyAlignment="1">
      <alignment horizont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66" fontId="2" fillId="27" borderId="145" xfId="0" applyNumberFormat="1" applyFont="1" applyFill="1" applyBorder="1" applyAlignment="1" applyProtection="1">
      <alignment horizontal="center"/>
      <protection hidden="1"/>
    </xf>
    <xf numFmtId="1" fontId="2" fillId="38" borderId="142" xfId="0" applyNumberFormat="1" applyFont="1" applyFill="1" applyBorder="1" applyAlignment="1">
      <alignment horizontal="center"/>
    </xf>
    <xf numFmtId="1" fontId="2" fillId="0" borderId="142" xfId="0" applyNumberFormat="1" applyFont="1" applyBorder="1" applyAlignment="1">
      <alignment horizontal="center"/>
    </xf>
    <xf numFmtId="1" fontId="2" fillId="0" borderId="17" xfId="0" applyNumberFormat="1" applyFont="1" applyBorder="1" applyAlignment="1">
      <alignment horizontal="center"/>
    </xf>
    <xf numFmtId="166" fontId="2" fillId="27" borderId="114" xfId="0" applyNumberFormat="1" applyFont="1" applyFill="1" applyBorder="1" applyAlignment="1" applyProtection="1">
      <alignment horizontal="center"/>
      <protection hidden="1"/>
    </xf>
    <xf numFmtId="0" fontId="0" fillId="0" borderId="102" xfId="0" applyBorder="1" applyAlignment="1">
      <alignment horizontal="center"/>
    </xf>
    <xf numFmtId="0" fontId="0" fillId="0" borderId="129" xfId="0" applyBorder="1" applyAlignment="1">
      <alignment horizontal="center"/>
    </xf>
    <xf numFmtId="0" fontId="0" fillId="38" borderId="102" xfId="0" applyFill="1" applyBorder="1" applyAlignment="1">
      <alignment horizontal="center"/>
    </xf>
    <xf numFmtId="0" fontId="0" fillId="38" borderId="154" xfId="0" applyFill="1" applyBorder="1" applyAlignment="1">
      <alignment horizontal="center"/>
    </xf>
    <xf numFmtId="0" fontId="0" fillId="0" borderId="100" xfId="0" applyBorder="1" applyAlignment="1">
      <alignment horizontal="center"/>
    </xf>
    <xf numFmtId="0" fontId="0" fillId="38" borderId="129" xfId="0" applyFill="1" applyBorder="1" applyAlignment="1">
      <alignment horizontal="center"/>
    </xf>
    <xf numFmtId="0" fontId="2" fillId="28" borderId="162" xfId="0" applyFont="1" applyFill="1" applyBorder="1" applyAlignment="1">
      <alignment horizontal="center"/>
    </xf>
    <xf numFmtId="0" fontId="2" fillId="28" borderId="161" xfId="0" applyFont="1" applyFill="1" applyBorder="1" applyAlignment="1">
      <alignment horizontal="center"/>
    </xf>
    <xf numFmtId="0" fontId="2" fillId="0" borderId="162" xfId="0" applyFont="1" applyBorder="1" applyAlignment="1">
      <alignment horizontal="center"/>
    </xf>
    <xf numFmtId="0" fontId="2" fillId="36" borderId="162" xfId="0" applyFont="1" applyFill="1" applyBorder="1" applyAlignment="1">
      <alignment horizontal="center"/>
    </xf>
    <xf numFmtId="0" fontId="2" fillId="36" borderId="161" xfId="0" applyFont="1" applyFill="1" applyBorder="1" applyAlignment="1">
      <alignment horizontal="center"/>
    </xf>
    <xf numFmtId="0" fontId="2" fillId="0" borderId="167" xfId="0" applyFont="1" applyBorder="1" applyAlignment="1">
      <alignment horizontal="center"/>
    </xf>
    <xf numFmtId="0" fontId="1" fillId="0" borderId="100" xfId="0" applyFont="1" applyBorder="1" applyAlignment="1">
      <alignment horizontal="center"/>
    </xf>
    <xf numFmtId="0" fontId="0" fillId="0" borderId="154" xfId="0" applyBorder="1" applyAlignment="1">
      <alignment horizontal="center"/>
    </xf>
    <xf numFmtId="0" fontId="1" fillId="0" borderId="102" xfId="0" applyFont="1" applyBorder="1" applyAlignment="1">
      <alignment horizontal="center"/>
    </xf>
    <xf numFmtId="0" fontId="1" fillId="0" borderId="71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11" xfId="0" applyFont="1" applyBorder="1" applyAlignment="1">
      <alignment horizontal="center"/>
    </xf>
    <xf numFmtId="0" fontId="1" fillId="0" borderId="121" xfId="0" applyFont="1" applyBorder="1" applyAlignment="1">
      <alignment horizontal="center"/>
    </xf>
    <xf numFmtId="0" fontId="1" fillId="0" borderId="118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2" xfId="45" applyFont="1" applyBorder="1" applyAlignment="1">
      <alignment horizontal="center" vertical="center" wrapText="1"/>
    </xf>
    <xf numFmtId="0" fontId="2" fillId="26" borderId="12" xfId="0" applyFont="1" applyFill="1" applyBorder="1" applyAlignment="1">
      <alignment horizontal="center" wrapText="1"/>
    </xf>
    <xf numFmtId="0" fontId="2" fillId="26" borderId="13" xfId="0" applyFont="1" applyFill="1" applyBorder="1" applyAlignment="1">
      <alignment horizontal="center"/>
    </xf>
    <xf numFmtId="166" fontId="2" fillId="38" borderId="170" xfId="45" applyNumberFormat="1" applyFont="1" applyFill="1" applyBorder="1" applyAlignment="1">
      <alignment horizontal="center"/>
    </xf>
    <xf numFmtId="1" fontId="2" fillId="26" borderId="170" xfId="0" applyNumberFormat="1" applyFont="1" applyFill="1" applyBorder="1" applyAlignment="1">
      <alignment horizontal="center"/>
    </xf>
    <xf numFmtId="1" fontId="2" fillId="26" borderId="172" xfId="0" applyNumberFormat="1" applyFont="1" applyFill="1" applyBorder="1" applyAlignment="1">
      <alignment horizontal="center"/>
    </xf>
    <xf numFmtId="166" fontId="2" fillId="0" borderId="170" xfId="45" applyNumberFormat="1" applyFont="1" applyBorder="1" applyAlignment="1">
      <alignment horizontal="center"/>
    </xf>
    <xf numFmtId="0" fontId="1" fillId="0" borderId="121" xfId="45" applyBorder="1" applyAlignment="1">
      <alignment horizontal="center"/>
    </xf>
    <xf numFmtId="0" fontId="1" fillId="0" borderId="29" xfId="45" applyBorder="1" applyAlignment="1">
      <alignment horizontal="center"/>
    </xf>
    <xf numFmtId="0" fontId="1" fillId="38" borderId="121" xfId="45" applyFill="1" applyBorder="1" applyAlignment="1">
      <alignment horizontal="center"/>
    </xf>
    <xf numFmtId="0" fontId="1" fillId="38" borderId="29" xfId="45" applyFill="1" applyBorder="1" applyAlignment="1">
      <alignment horizontal="center"/>
    </xf>
    <xf numFmtId="0" fontId="1" fillId="38" borderId="118" xfId="45" applyFill="1" applyBorder="1" applyAlignment="1">
      <alignment horizontal="center"/>
    </xf>
    <xf numFmtId="166" fontId="2" fillId="0" borderId="173" xfId="45" applyNumberFormat="1" applyFont="1" applyBorder="1" applyAlignment="1">
      <alignment horizontal="center"/>
    </xf>
    <xf numFmtId="1" fontId="2" fillId="26" borderId="173" xfId="0" applyNumberFormat="1" applyFont="1" applyFill="1" applyBorder="1" applyAlignment="1">
      <alignment horizontal="center"/>
    </xf>
    <xf numFmtId="1" fontId="2" fillId="26" borderId="174" xfId="0" applyNumberFormat="1" applyFont="1" applyFill="1" applyBorder="1" applyAlignment="1">
      <alignment horizontal="center"/>
    </xf>
    <xf numFmtId="1" fontId="2" fillId="38" borderId="170" xfId="45" applyNumberFormat="1" applyFont="1" applyFill="1" applyBorder="1" applyAlignment="1">
      <alignment horizontal="center"/>
    </xf>
    <xf numFmtId="1" fontId="2" fillId="0" borderId="170" xfId="45" applyNumberFormat="1" applyFont="1" applyBorder="1" applyAlignment="1">
      <alignment horizontal="center"/>
    </xf>
    <xf numFmtId="1" fontId="2" fillId="0" borderId="173" xfId="45" applyNumberFormat="1" applyFont="1" applyBorder="1" applyAlignment="1">
      <alignment horizontal="center"/>
    </xf>
    <xf numFmtId="0" fontId="39" fillId="41" borderId="224" xfId="0" applyFont="1" applyFill="1" applyBorder="1" applyAlignment="1">
      <alignment horizontal="center"/>
    </xf>
    <xf numFmtId="0" fontId="39" fillId="41" borderId="225" xfId="0" applyFont="1" applyFill="1" applyBorder="1" applyAlignment="1">
      <alignment horizontal="center"/>
    </xf>
    <xf numFmtId="0" fontId="39" fillId="41" borderId="227" xfId="0" applyFont="1" applyFill="1" applyBorder="1" applyAlignment="1">
      <alignment horizontal="center"/>
    </xf>
    <xf numFmtId="0" fontId="39" fillId="41" borderId="228" xfId="0" applyFont="1" applyFill="1" applyBorder="1" applyAlignment="1">
      <alignment horizontal="center"/>
    </xf>
    <xf numFmtId="0" fontId="0" fillId="0" borderId="223" xfId="0" applyBorder="1" applyAlignment="1">
      <alignment horizontal="center"/>
    </xf>
    <xf numFmtId="0" fontId="0" fillId="0" borderId="224" xfId="0" applyBorder="1" applyAlignment="1">
      <alignment horizontal="center"/>
    </xf>
    <xf numFmtId="0" fontId="0" fillId="0" borderId="225" xfId="0" applyBorder="1" applyAlignment="1">
      <alignment horizontal="center"/>
    </xf>
    <xf numFmtId="0" fontId="0" fillId="0" borderId="226" xfId="0" applyBorder="1" applyAlignment="1">
      <alignment horizontal="center"/>
    </xf>
    <xf numFmtId="0" fontId="0" fillId="0" borderId="122" xfId="0" applyBorder="1" applyAlignment="1">
      <alignment horizontal="center"/>
    </xf>
    <xf numFmtId="0" fontId="0" fillId="0" borderId="117" xfId="0" applyBorder="1" applyAlignment="1">
      <alignment horizontal="center"/>
    </xf>
    <xf numFmtId="0" fontId="0" fillId="0" borderId="118" xfId="0" applyBorder="1" applyAlignment="1">
      <alignment horizontal="center"/>
    </xf>
  </cellXfs>
  <cellStyles count="48">
    <cellStyle name="1000-sep (2 dec)_0.1 Alpha Wafer Quick Calc 13.02.2011 JKR" xfId="1" xr:uid="{00000000-0005-0000-0000-000000000000}"/>
    <cellStyle name="20 % - Akzent1" xfId="2" xr:uid="{00000000-0005-0000-0000-000001000000}"/>
    <cellStyle name="20 % - Akzent2" xfId="3" xr:uid="{00000000-0005-0000-0000-000002000000}"/>
    <cellStyle name="20 % - Akzent3" xfId="4" xr:uid="{00000000-0005-0000-0000-000003000000}"/>
    <cellStyle name="20 % - Akzent4" xfId="5" xr:uid="{00000000-0005-0000-0000-000004000000}"/>
    <cellStyle name="20 % - Akzent5" xfId="6" xr:uid="{00000000-0005-0000-0000-000005000000}"/>
    <cellStyle name="20 % - Akzent6" xfId="7" xr:uid="{00000000-0005-0000-0000-000006000000}"/>
    <cellStyle name="40 % - Akzent1" xfId="8" xr:uid="{00000000-0005-0000-0000-000007000000}"/>
    <cellStyle name="40 % - Akzent2" xfId="9" xr:uid="{00000000-0005-0000-0000-000008000000}"/>
    <cellStyle name="40 % - Akzent3" xfId="10" xr:uid="{00000000-0005-0000-0000-000009000000}"/>
    <cellStyle name="40 % - Akzent4" xfId="11" xr:uid="{00000000-0005-0000-0000-00000A000000}"/>
    <cellStyle name="40 % - Akzent5" xfId="12" xr:uid="{00000000-0005-0000-0000-00000B000000}"/>
    <cellStyle name="40 % - Akzent6" xfId="13" xr:uid="{00000000-0005-0000-0000-00000C000000}"/>
    <cellStyle name="60 % - Akzent1" xfId="14" xr:uid="{00000000-0005-0000-0000-00000D000000}"/>
    <cellStyle name="60 % - Akzent2" xfId="15" xr:uid="{00000000-0005-0000-0000-00000E000000}"/>
    <cellStyle name="60 % - Akzent3" xfId="16" xr:uid="{00000000-0005-0000-0000-00000F000000}"/>
    <cellStyle name="60 % - Akzent4" xfId="17" xr:uid="{00000000-0005-0000-0000-000010000000}"/>
    <cellStyle name="60 % - Akzent5" xfId="18" xr:uid="{00000000-0005-0000-0000-000011000000}"/>
    <cellStyle name="60 % - Akzent6" xfId="19" xr:uid="{00000000-0005-0000-0000-000012000000}"/>
    <cellStyle name="Akzent1" xfId="20" xr:uid="{00000000-0005-0000-0000-000013000000}"/>
    <cellStyle name="Akzent2" xfId="21" xr:uid="{00000000-0005-0000-0000-000014000000}"/>
    <cellStyle name="Akzent3" xfId="22" xr:uid="{00000000-0005-0000-0000-000015000000}"/>
    <cellStyle name="Akzent4" xfId="23" xr:uid="{00000000-0005-0000-0000-000016000000}"/>
    <cellStyle name="Akzent5" xfId="24" xr:uid="{00000000-0005-0000-0000-000017000000}"/>
    <cellStyle name="Akzent6" xfId="25" xr:uid="{00000000-0005-0000-0000-000018000000}"/>
    <cellStyle name="Ausgabe" xfId="26" xr:uid="{00000000-0005-0000-0000-000019000000}"/>
    <cellStyle name="Berechnung" xfId="27" xr:uid="{00000000-0005-0000-0000-00001A000000}"/>
    <cellStyle name="Eingabe" xfId="28" xr:uid="{00000000-0005-0000-0000-00001B000000}"/>
    <cellStyle name="Ergebnis" xfId="29" xr:uid="{00000000-0005-0000-0000-00001C000000}"/>
    <cellStyle name="Erklärender Text" xfId="30" xr:uid="{00000000-0005-0000-0000-00001D000000}"/>
    <cellStyle name="Gut" xfId="31" xr:uid="{00000000-0005-0000-0000-00001E000000}"/>
    <cellStyle name="Komma" xfId="32" builtinId="3"/>
    <cellStyle name="Komma 2" xfId="46" xr:uid="{00000000-0005-0000-0000-000020000000}"/>
    <cellStyle name="Komma 2 2" xfId="47" xr:uid="{00000000-0005-0000-0000-000021000000}"/>
    <cellStyle name="Normal" xfId="0" builtinId="0"/>
    <cellStyle name="Normal 2" xfId="45" xr:uid="{00000000-0005-0000-0000-000023000000}"/>
    <cellStyle name="Notiz" xfId="33" xr:uid="{00000000-0005-0000-0000-000024000000}"/>
    <cellStyle name="Procent 2" xfId="34" xr:uid="{00000000-0005-0000-0000-000025000000}"/>
    <cellStyle name="Procent 2 2" xfId="35" xr:uid="{00000000-0005-0000-0000-000026000000}"/>
    <cellStyle name="Schlecht" xfId="36" xr:uid="{00000000-0005-0000-0000-000027000000}"/>
    <cellStyle name="Verknüpfte Zelle" xfId="37" xr:uid="{00000000-0005-0000-0000-000028000000}"/>
    <cellStyle name="Warnender Text" xfId="38" xr:uid="{00000000-0005-0000-0000-000029000000}"/>
    <cellStyle name="Überschrift" xfId="39" xr:uid="{00000000-0005-0000-0000-00002A000000}"/>
    <cellStyle name="Überschrift 1" xfId="40" xr:uid="{00000000-0005-0000-0000-00002B000000}"/>
    <cellStyle name="Überschrift 2" xfId="41" xr:uid="{00000000-0005-0000-0000-00002C000000}"/>
    <cellStyle name="Überschrift 3" xfId="42" xr:uid="{00000000-0005-0000-0000-00002D000000}"/>
    <cellStyle name="Überschrift 4" xfId="43" xr:uid="{00000000-0005-0000-0000-00002E000000}"/>
    <cellStyle name="Zelle überprüfen" xfId="44" xr:uid="{00000000-0005-0000-0000-00002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emf"/><Relationship Id="rId1" Type="http://schemas.openxmlformats.org/officeDocument/2006/relationships/image" Target="../media/image24.png"/><Relationship Id="rId4" Type="http://schemas.openxmlformats.org/officeDocument/2006/relationships/image" Target="../media/image27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2.jpeg"/><Relationship Id="rId1" Type="http://schemas.openxmlformats.org/officeDocument/2006/relationships/image" Target="../media/image3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37.jpeg"/><Relationship Id="rId1" Type="http://schemas.openxmlformats.org/officeDocument/2006/relationships/image" Target="../media/image36.jpeg"/><Relationship Id="rId4" Type="http://schemas.openxmlformats.org/officeDocument/2006/relationships/image" Target="../media/image39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eg"/><Relationship Id="rId2" Type="http://schemas.openxmlformats.org/officeDocument/2006/relationships/image" Target="../media/image42.png"/><Relationship Id="rId1" Type="http://schemas.openxmlformats.org/officeDocument/2006/relationships/image" Target="../media/image4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png"/><Relationship Id="rId2" Type="http://schemas.openxmlformats.org/officeDocument/2006/relationships/image" Target="../media/image47.tiff"/><Relationship Id="rId1" Type="http://schemas.openxmlformats.org/officeDocument/2006/relationships/image" Target="../media/image4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emf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49.tif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emf"/><Relationship Id="rId1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7.emf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jpeg"/><Relationship Id="rId1" Type="http://schemas.openxmlformats.org/officeDocument/2006/relationships/image" Target="../media/image17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7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23.jpeg"/><Relationship Id="rId1" Type="http://schemas.openxmlformats.org/officeDocument/2006/relationships/image" Target="../media/image22.emf"/><Relationship Id="rId4" Type="http://schemas.openxmlformats.org/officeDocument/2006/relationships/image" Target="../media/image1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2</xdr:row>
      <xdr:rowOff>38100</xdr:rowOff>
    </xdr:from>
    <xdr:to>
      <xdr:col>10</xdr:col>
      <xdr:colOff>1047750</xdr:colOff>
      <xdr:row>24</xdr:row>
      <xdr:rowOff>123825</xdr:rowOff>
    </xdr:to>
    <xdr:pic>
      <xdr:nvPicPr>
        <xdr:cNvPr id="1133" name="Picture 1" descr="Frese S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571500"/>
          <a:ext cx="3171825" cy="355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857250</xdr:colOff>
      <xdr:row>19</xdr:row>
      <xdr:rowOff>38100</xdr:rowOff>
    </xdr:from>
    <xdr:to>
      <xdr:col>5</xdr:col>
      <xdr:colOff>123825</xdr:colOff>
      <xdr:row>30</xdr:row>
      <xdr:rowOff>104775</xdr:rowOff>
    </xdr:to>
    <xdr:pic>
      <xdr:nvPicPr>
        <xdr:cNvPr id="1134" name="Picture 2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3219450"/>
          <a:ext cx="140970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657225</xdr:colOff>
      <xdr:row>22</xdr:row>
      <xdr:rowOff>9525</xdr:rowOff>
    </xdr:from>
    <xdr:to>
      <xdr:col>10</xdr:col>
      <xdr:colOff>1304925</xdr:colOff>
      <xdr:row>32</xdr:row>
      <xdr:rowOff>9525</xdr:rowOff>
    </xdr:to>
    <xdr:pic>
      <xdr:nvPicPr>
        <xdr:cNvPr id="1135" name="Picture 3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686175"/>
          <a:ext cx="38385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228600</xdr:colOff>
      <xdr:row>13</xdr:row>
      <xdr:rowOff>95250</xdr:rowOff>
    </xdr:from>
    <xdr:to>
      <xdr:col>10</xdr:col>
      <xdr:colOff>899981</xdr:colOff>
      <xdr:row>16</xdr:row>
      <xdr:rowOff>61751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36F5037-C0CC-45E4-AB8A-82978BA488D5}"/>
            </a:ext>
          </a:extLst>
        </xdr:cNvPr>
        <xdr:cNvSpPr txBox="1"/>
      </xdr:nvSpPr>
      <xdr:spPr>
        <a:xfrm rot="19882195">
          <a:off x="5324475" y="2295525"/>
          <a:ext cx="2814506" cy="45227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2400" b="1">
              <a:solidFill>
                <a:srgbClr val="FF0000"/>
              </a:solidFill>
            </a:rPr>
            <a:t>OBSOLETE PRODUCT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410441</xdr:colOff>
      <xdr:row>31</xdr:row>
      <xdr:rowOff>17859</xdr:rowOff>
    </xdr:from>
    <xdr:to>
      <xdr:col>1</xdr:col>
      <xdr:colOff>9199</xdr:colOff>
      <xdr:row>41</xdr:row>
      <xdr:rowOff>170258</xdr:rowOff>
    </xdr:to>
    <xdr:sp macro="" textlink="">
      <xdr:nvSpPr>
        <xdr:cNvPr id="3" name="Rectangle 1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410441" y="5395154"/>
          <a:ext cx="681144" cy="180628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FFFF" mc:Ignorable="a14" a14:legacySpreadsheetColorIndex="15">
            <a:alpha val="2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975123</xdr:colOff>
      <xdr:row>27</xdr:row>
      <xdr:rowOff>123825</xdr:rowOff>
    </xdr:from>
    <xdr:to>
      <xdr:col>9</xdr:col>
      <xdr:colOff>1029891</xdr:colOff>
      <xdr:row>31</xdr:row>
      <xdr:rowOff>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6718698" y="4772025"/>
          <a:ext cx="2788443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∆Pp = Pump pressure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∆Ps = Differential pressure in system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∆Pv = Pressure loss across valve</a:t>
          </a:r>
        </a:p>
      </xdr:txBody>
    </xdr:sp>
    <xdr:clientData/>
  </xdr:twoCellAnchor>
  <xdr:twoCellAnchor>
    <xdr:from>
      <xdr:col>8</xdr:col>
      <xdr:colOff>219074</xdr:colOff>
      <xdr:row>2</xdr:row>
      <xdr:rowOff>142874</xdr:rowOff>
    </xdr:from>
    <xdr:to>
      <xdr:col>9</xdr:col>
      <xdr:colOff>685799</xdr:colOff>
      <xdr:row>5</xdr:row>
      <xdr:rowOff>47625</xdr:rowOff>
    </xdr:to>
    <xdr:sp macro="" textlink="">
      <xdr:nvSpPr>
        <xdr:cNvPr id="5" name="Text Box 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7334249" y="676274"/>
          <a:ext cx="1838325" cy="400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SIGMA Compact (Supply)</a:t>
          </a:r>
        </a:p>
      </xdr:txBody>
    </xdr:sp>
    <xdr:clientData/>
  </xdr:twoCellAnchor>
  <xdr:twoCellAnchor>
    <xdr:from>
      <xdr:col>8</xdr:col>
      <xdr:colOff>389661</xdr:colOff>
      <xdr:row>11</xdr:row>
      <xdr:rowOff>152400</xdr:rowOff>
    </xdr:from>
    <xdr:to>
      <xdr:col>9</xdr:col>
      <xdr:colOff>677143</xdr:colOff>
      <xdr:row>14</xdr:row>
      <xdr:rowOff>47625</xdr:rowOff>
    </xdr:to>
    <xdr:sp macro="" textlink="">
      <xdr:nvSpPr>
        <xdr:cNvPr id="6" name="Text Box 9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7507434" y="2213264"/>
          <a:ext cx="1655618" cy="388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PV Compact (Return)</a:t>
          </a:r>
        </a:p>
      </xdr:txBody>
    </xdr:sp>
    <xdr:clientData/>
  </xdr:twoCellAnchor>
  <xdr:twoCellAnchor>
    <xdr:from>
      <xdr:col>1</xdr:col>
      <xdr:colOff>228600</xdr:colOff>
      <xdr:row>26</xdr:row>
      <xdr:rowOff>114300</xdr:rowOff>
    </xdr:from>
    <xdr:to>
      <xdr:col>1</xdr:col>
      <xdr:colOff>833437</xdr:colOff>
      <xdr:row>29</xdr:row>
      <xdr:rowOff>35719</xdr:rowOff>
    </xdr:to>
    <xdr:sp macro="" textlink="">
      <xdr:nvSpPr>
        <xdr:cNvPr id="7" name="Text Box 10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1314450" y="4600575"/>
          <a:ext cx="604837" cy="407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PV Compact</a:t>
          </a:r>
        </a:p>
      </xdr:txBody>
    </xdr:sp>
    <xdr:clientData/>
  </xdr:twoCellAnchor>
  <xdr:twoCellAnchor>
    <xdr:from>
      <xdr:col>3</xdr:col>
      <xdr:colOff>41675</xdr:colOff>
      <xdr:row>26</xdr:row>
      <xdr:rowOff>47624</xdr:rowOff>
    </xdr:from>
    <xdr:to>
      <xdr:col>3</xdr:col>
      <xdr:colOff>904878</xdr:colOff>
      <xdr:row>29</xdr:row>
      <xdr:rowOff>23813</xdr:rowOff>
    </xdr:to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>
          <a:spLocks noChangeArrowheads="1"/>
        </xdr:cNvSpPr>
      </xdr:nvSpPr>
      <xdr:spPr bwMode="auto">
        <a:xfrm>
          <a:off x="3289700" y="4533899"/>
          <a:ext cx="863203" cy="461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SIGMA Compact</a:t>
          </a:r>
        </a:p>
      </xdr:txBody>
    </xdr:sp>
    <xdr:clientData/>
  </xdr:twoCellAnchor>
  <xdr:twoCellAnchor>
    <xdr:from>
      <xdr:col>0</xdr:col>
      <xdr:colOff>419100</xdr:colOff>
      <xdr:row>31</xdr:row>
      <xdr:rowOff>9525</xdr:rowOff>
    </xdr:from>
    <xdr:to>
      <xdr:col>0</xdr:col>
      <xdr:colOff>419100</xdr:colOff>
      <xdr:row>42</xdr:row>
      <xdr:rowOff>9525</xdr:rowOff>
    </xdr:to>
    <xdr:sp macro="" textlink="">
      <xdr:nvSpPr>
        <xdr:cNvPr id="9" name="Line 12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419100" y="5314950"/>
          <a:ext cx="0" cy="1800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32</xdr:row>
      <xdr:rowOff>0</xdr:rowOff>
    </xdr:from>
    <xdr:to>
      <xdr:col>0</xdr:col>
      <xdr:colOff>1076325</xdr:colOff>
      <xdr:row>32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419100" y="5476875"/>
          <a:ext cx="657225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1009650</xdr:colOff>
      <xdr:row>31</xdr:row>
      <xdr:rowOff>9525</xdr:rowOff>
    </xdr:from>
    <xdr:to>
      <xdr:col>1</xdr:col>
      <xdr:colOff>38100</xdr:colOff>
      <xdr:row>31</xdr:row>
      <xdr:rowOff>161925</xdr:rowOff>
    </xdr:to>
    <xdr:sp macro="" textlink="">
      <xdr:nvSpPr>
        <xdr:cNvPr id="11" name="Rectangle 15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1009650" y="5314950"/>
          <a:ext cx="11430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435904</xdr:colOff>
      <xdr:row>2</xdr:row>
      <xdr:rowOff>82150</xdr:rowOff>
    </xdr:from>
    <xdr:to>
      <xdr:col>8</xdr:col>
      <xdr:colOff>659267</xdr:colOff>
      <xdr:row>15</xdr:row>
      <xdr:rowOff>143447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68" t="11506" r="14110" b="9801"/>
        <a:stretch/>
      </xdr:blipFill>
      <xdr:spPr>
        <a:xfrm rot="3600000">
          <a:off x="5869987" y="925042"/>
          <a:ext cx="2213947" cy="1594963"/>
        </a:xfrm>
        <a:prstGeom prst="rect">
          <a:avLst/>
        </a:prstGeom>
      </xdr:spPr>
    </xdr:pic>
    <xdr:clientData/>
  </xdr:twoCellAnchor>
  <xdr:twoCellAnchor editAs="oneCell">
    <xdr:from>
      <xdr:col>7</xdr:col>
      <xdr:colOff>29402</xdr:colOff>
      <xdr:row>17</xdr:row>
      <xdr:rowOff>40481</xdr:rowOff>
    </xdr:from>
    <xdr:to>
      <xdr:col>9</xdr:col>
      <xdr:colOff>361949</xdr:colOff>
      <xdr:row>28</xdr:row>
      <xdr:rowOff>3570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977" y="3050381"/>
          <a:ext cx="3075747" cy="1763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251221</xdr:colOff>
      <xdr:row>23</xdr:row>
      <xdr:rowOff>51197</xdr:rowOff>
    </xdr:from>
    <xdr:to>
      <xdr:col>7</xdr:col>
      <xdr:colOff>482201</xdr:colOff>
      <xdr:row>24</xdr:row>
      <xdr:rowOff>41672</xdr:rowOff>
    </xdr:to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5994796" y="4051697"/>
          <a:ext cx="23098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∆Pv</a:t>
          </a:r>
        </a:p>
      </xdr:txBody>
    </xdr:sp>
    <xdr:clientData/>
  </xdr:twoCellAnchor>
  <xdr:twoCellAnchor>
    <xdr:from>
      <xdr:col>7</xdr:col>
      <xdr:colOff>1135840</xdr:colOff>
      <xdr:row>23</xdr:row>
      <xdr:rowOff>51200</xdr:rowOff>
    </xdr:from>
    <xdr:to>
      <xdr:col>7</xdr:col>
      <xdr:colOff>1366820</xdr:colOff>
      <xdr:row>24</xdr:row>
      <xdr:rowOff>41675</xdr:rowOff>
    </xdr:to>
    <xdr:sp macro="" textlink="">
      <xdr:nvSpPr>
        <xdr:cNvPr id="16" name="Text Box 3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>
          <a:spLocks noChangeArrowheads="1"/>
        </xdr:cNvSpPr>
      </xdr:nvSpPr>
      <xdr:spPr bwMode="auto">
        <a:xfrm>
          <a:off x="6879415" y="4051700"/>
          <a:ext cx="23098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∆Pv</a:t>
          </a:r>
        </a:p>
      </xdr:txBody>
    </xdr:sp>
    <xdr:clientData/>
  </xdr:twoCellAnchor>
  <xdr:twoCellAnchor>
    <xdr:from>
      <xdr:col>7</xdr:col>
      <xdr:colOff>698893</xdr:colOff>
      <xdr:row>20</xdr:row>
      <xdr:rowOff>159558</xdr:rowOff>
    </xdr:from>
    <xdr:to>
      <xdr:col>7</xdr:col>
      <xdr:colOff>929873</xdr:colOff>
      <xdr:row>21</xdr:row>
      <xdr:rowOff>150033</xdr:rowOff>
    </xdr:to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 txBox="1">
          <a:spLocks noChangeArrowheads="1"/>
        </xdr:cNvSpPr>
      </xdr:nvSpPr>
      <xdr:spPr bwMode="auto">
        <a:xfrm>
          <a:off x="6442468" y="3674283"/>
          <a:ext cx="23098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∆Ps</a:t>
          </a:r>
        </a:p>
      </xdr:txBody>
    </xdr:sp>
    <xdr:clientData/>
  </xdr:twoCellAnchor>
  <xdr:twoCellAnchor>
    <xdr:from>
      <xdr:col>7</xdr:col>
      <xdr:colOff>708421</xdr:colOff>
      <xdr:row>24</xdr:row>
      <xdr:rowOff>73825</xdr:rowOff>
    </xdr:from>
    <xdr:to>
      <xdr:col>7</xdr:col>
      <xdr:colOff>939401</xdr:colOff>
      <xdr:row>25</xdr:row>
      <xdr:rowOff>64299</xdr:rowOff>
    </xdr:to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6451996" y="4236250"/>
          <a:ext cx="230980" cy="152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∆Pp</a:t>
          </a:r>
        </a:p>
      </xdr:txBody>
    </xdr:sp>
    <xdr:clientData/>
  </xdr:twoCellAnchor>
  <xdr:twoCellAnchor>
    <xdr:from>
      <xdr:col>6</xdr:col>
      <xdr:colOff>303608</xdr:colOff>
      <xdr:row>25</xdr:row>
      <xdr:rowOff>140503</xdr:rowOff>
    </xdr:from>
    <xdr:to>
      <xdr:col>6</xdr:col>
      <xdr:colOff>1351359</xdr:colOff>
      <xdr:row>27</xdr:row>
      <xdr:rowOff>23812</xdr:rowOff>
    </xdr:to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 txBox="1">
          <a:spLocks noChangeArrowheads="1"/>
        </xdr:cNvSpPr>
      </xdr:nvSpPr>
      <xdr:spPr bwMode="auto">
        <a:xfrm>
          <a:off x="4666058" y="4464853"/>
          <a:ext cx="1047751" cy="207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∆Pp = ∆Ps + ∆Pv</a:t>
          </a:r>
        </a:p>
      </xdr:txBody>
    </xdr:sp>
    <xdr:clientData/>
  </xdr:twoCellAnchor>
  <xdr:twoCellAnchor editAs="oneCell">
    <xdr:from>
      <xdr:col>1</xdr:col>
      <xdr:colOff>51953</xdr:colOff>
      <xdr:row>19</xdr:row>
      <xdr:rowOff>138545</xdr:rowOff>
    </xdr:from>
    <xdr:to>
      <xdr:col>2</xdr:col>
      <xdr:colOff>483439</xdr:colOff>
      <xdr:row>26</xdr:row>
      <xdr:rowOff>111215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4339" y="3524250"/>
          <a:ext cx="1548509" cy="1132988"/>
        </a:xfrm>
        <a:prstGeom prst="rect">
          <a:avLst/>
        </a:prstGeom>
      </xdr:spPr>
    </xdr:pic>
    <xdr:clientData/>
  </xdr:twoCellAnchor>
  <xdr:twoCellAnchor editAs="oneCell">
    <xdr:from>
      <xdr:col>3</xdr:col>
      <xdr:colOff>43296</xdr:colOff>
      <xdr:row>19</xdr:row>
      <xdr:rowOff>51153</xdr:rowOff>
    </xdr:from>
    <xdr:to>
      <xdr:col>6</xdr:col>
      <xdr:colOff>519546</xdr:colOff>
      <xdr:row>25</xdr:row>
      <xdr:rowOff>109971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455" y="3436858"/>
          <a:ext cx="1593273" cy="1054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714376</xdr:colOff>
      <xdr:row>11</xdr:row>
      <xdr:rowOff>38100</xdr:rowOff>
    </xdr:from>
    <xdr:to>
      <xdr:col>8</xdr:col>
      <xdr:colOff>217879</xdr:colOff>
      <xdr:row>27</xdr:row>
      <xdr:rowOff>97155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0E2D4C56-EBFD-4338-B253-906BC06C8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2061" y="2125980"/>
          <a:ext cx="2046678" cy="265938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</xdr:row>
      <xdr:rowOff>80488</xdr:rowOff>
    </xdr:from>
    <xdr:to>
      <xdr:col>5</xdr:col>
      <xdr:colOff>495300</xdr:colOff>
      <xdr:row>20</xdr:row>
      <xdr:rowOff>25433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E23D9CB5-27A5-4F6E-A82F-F1BDD14C8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1528288"/>
          <a:ext cx="4686300" cy="204997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20</xdr:row>
      <xdr:rowOff>85725</xdr:rowOff>
    </xdr:from>
    <xdr:to>
      <xdr:col>4</xdr:col>
      <xdr:colOff>617220</xdr:colOff>
      <xdr:row>26</xdr:row>
      <xdr:rowOff>104775</xdr:rowOff>
    </xdr:to>
    <xdr:pic>
      <xdr:nvPicPr>
        <xdr:cNvPr id="4" name="Picture 3" descr="OPTIMA Compact pre setting">
          <a:extLst>
            <a:ext uri="{FF2B5EF4-FFF2-40B4-BE49-F238E27FC236}">
              <a16:creationId xmlns:a16="http://schemas.microsoft.com/office/drawing/2014/main" id="{C87EB985-5BFC-4CF7-B2A5-E84C10A21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0" y="3611880"/>
          <a:ext cx="11506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14</xdr:row>
      <xdr:rowOff>104775</xdr:rowOff>
    </xdr:from>
    <xdr:to>
      <xdr:col>13</xdr:col>
      <xdr:colOff>485775</xdr:colOff>
      <xdr:row>26</xdr:row>
      <xdr:rowOff>142875</xdr:rowOff>
    </xdr:to>
    <xdr:pic>
      <xdr:nvPicPr>
        <xdr:cNvPr id="11265" name="Picture 6">
          <a:extLst>
            <a:ext uri="{FF2B5EF4-FFF2-40B4-BE49-F238E27FC236}">
              <a16:creationId xmlns:a16="http://schemas.microsoft.com/office/drawing/2014/main" id="{00000000-0008-0000-09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752725"/>
          <a:ext cx="391477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14</xdr:row>
      <xdr:rowOff>19050</xdr:rowOff>
    </xdr:from>
    <xdr:to>
      <xdr:col>6</xdr:col>
      <xdr:colOff>485775</xdr:colOff>
      <xdr:row>26</xdr:row>
      <xdr:rowOff>152400</xdr:rowOff>
    </xdr:to>
    <xdr:pic>
      <xdr:nvPicPr>
        <xdr:cNvPr id="11266" name="Picture 5" descr="49-9037">
          <a:extLst>
            <a:ext uri="{FF2B5EF4-FFF2-40B4-BE49-F238E27FC236}">
              <a16:creationId xmlns:a16="http://schemas.microsoft.com/office/drawing/2014/main" id="{00000000-0008-0000-0900-00000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2667000"/>
          <a:ext cx="23145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14</xdr:row>
      <xdr:rowOff>114300</xdr:rowOff>
    </xdr:from>
    <xdr:to>
      <xdr:col>13</xdr:col>
      <xdr:colOff>571500</xdr:colOff>
      <xdr:row>97</xdr:row>
      <xdr:rowOff>9525</xdr:rowOff>
    </xdr:to>
    <xdr:sp macro="" textlink="">
      <xdr:nvSpPr>
        <xdr:cNvPr id="11267" name="Picture 6">
          <a:extLst>
            <a:ext uri="{FF2B5EF4-FFF2-40B4-BE49-F238E27FC236}">
              <a16:creationId xmlns:a16="http://schemas.microsoft.com/office/drawing/2014/main" id="{00000000-0008-0000-0900-0000032C0000}"/>
            </a:ext>
          </a:extLst>
        </xdr:cNvPr>
        <xdr:cNvSpPr>
          <a:spLocks noChangeAspect="1" noChangeArrowheads="1"/>
        </xdr:cNvSpPr>
      </xdr:nvSpPr>
      <xdr:spPr bwMode="auto">
        <a:xfrm>
          <a:off x="5181600" y="2762250"/>
          <a:ext cx="411480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14</xdr:row>
      <xdr:rowOff>152400</xdr:rowOff>
    </xdr:from>
    <xdr:to>
      <xdr:col>8</xdr:col>
      <xdr:colOff>161925</xdr:colOff>
      <xdr:row>21</xdr:row>
      <xdr:rowOff>19050</xdr:rowOff>
    </xdr:to>
    <xdr:pic>
      <xdr:nvPicPr>
        <xdr:cNvPr id="11268" name="Picture 7" descr="dn25L-50">
          <a:extLst>
            <a:ext uri="{FF2B5EF4-FFF2-40B4-BE49-F238E27FC236}">
              <a16:creationId xmlns:a16="http://schemas.microsoft.com/office/drawing/2014/main" id="{00000000-0008-0000-0900-00000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400000">
          <a:off x="4486275" y="2800350"/>
          <a:ext cx="8286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102870</xdr:colOff>
      <xdr:row>9</xdr:row>
      <xdr:rowOff>0</xdr:rowOff>
    </xdr:from>
    <xdr:to>
      <xdr:col>16</xdr:col>
      <xdr:colOff>502920</xdr:colOff>
      <xdr:row>104</xdr:row>
      <xdr:rowOff>142875</xdr:rowOff>
    </xdr:to>
    <xdr:pic>
      <xdr:nvPicPr>
        <xdr:cNvPr id="8263" name="Picture 6" descr="Alpha Wafer">
          <a:extLst>
            <a:ext uri="{FF2B5EF4-FFF2-40B4-BE49-F238E27FC236}">
              <a16:creationId xmlns:a16="http://schemas.microsoft.com/office/drawing/2014/main" id="{00000000-0008-0000-0A00-00004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8490" y="1554480"/>
          <a:ext cx="2716530" cy="3320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101</xdr:row>
      <xdr:rowOff>9525</xdr:rowOff>
    </xdr:from>
    <xdr:to>
      <xdr:col>10</xdr:col>
      <xdr:colOff>419100</xdr:colOff>
      <xdr:row>120</xdr:row>
      <xdr:rowOff>66675</xdr:rowOff>
    </xdr:to>
    <xdr:pic>
      <xdr:nvPicPr>
        <xdr:cNvPr id="8264" name="Picture 2">
          <a:extLst>
            <a:ext uri="{FF2B5EF4-FFF2-40B4-BE49-F238E27FC236}">
              <a16:creationId xmlns:a16="http://schemas.microsoft.com/office/drawing/2014/main" id="{00000000-0008-0000-0A00-00004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4200525"/>
          <a:ext cx="4400550" cy="3381375"/>
        </a:xfrm>
        <a:prstGeom prst="rect">
          <a:avLst/>
        </a:prstGeom>
        <a:solidFill>
          <a:srgbClr val="C0C0C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142875</xdr:colOff>
      <xdr:row>10</xdr:row>
      <xdr:rowOff>47625</xdr:rowOff>
    </xdr:from>
    <xdr:to>
      <xdr:col>12</xdr:col>
      <xdr:colOff>542925</xdr:colOff>
      <xdr:row>22</xdr:row>
      <xdr:rowOff>38100</xdr:rowOff>
    </xdr:to>
    <xdr:pic>
      <xdr:nvPicPr>
        <xdr:cNvPr id="9362" name="Picture 8" descr="48-5800 lille">
          <a:extLst>
            <a:ext uri="{FF2B5EF4-FFF2-40B4-BE49-F238E27FC236}">
              <a16:creationId xmlns:a16="http://schemas.microsoft.com/office/drawing/2014/main" id="{00000000-0008-0000-0B00-00009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2019300"/>
          <a:ext cx="18954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533400</xdr:colOff>
      <xdr:row>21</xdr:row>
      <xdr:rowOff>76200</xdr:rowOff>
    </xdr:from>
    <xdr:to>
      <xdr:col>12</xdr:col>
      <xdr:colOff>342900</xdr:colOff>
      <xdr:row>25</xdr:row>
      <xdr:rowOff>123825</xdr:rowOff>
    </xdr:to>
    <xdr:pic>
      <xdr:nvPicPr>
        <xdr:cNvPr id="9363" name="Picture 7" descr="dn25L-50">
          <a:extLst>
            <a:ext uri="{FF2B5EF4-FFF2-40B4-BE49-F238E27FC236}">
              <a16:creationId xmlns:a16="http://schemas.microsoft.com/office/drawing/2014/main" id="{00000000-0008-0000-0B00-00009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100000">
          <a:off x="8096250" y="3981450"/>
          <a:ext cx="5238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304800</xdr:colOff>
      <xdr:row>16</xdr:row>
      <xdr:rowOff>57150</xdr:rowOff>
    </xdr:from>
    <xdr:to>
      <xdr:col>5</xdr:col>
      <xdr:colOff>619125</xdr:colOff>
      <xdr:row>20</xdr:row>
      <xdr:rowOff>152400</xdr:rowOff>
    </xdr:to>
    <xdr:pic>
      <xdr:nvPicPr>
        <xdr:cNvPr id="9364" name="Picture 3" descr="48-5515">
          <a:extLst>
            <a:ext uri="{FF2B5EF4-FFF2-40B4-BE49-F238E27FC236}">
              <a16:creationId xmlns:a16="http://schemas.microsoft.com/office/drawing/2014/main" id="{00000000-0008-0000-0B00-00009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3095625"/>
          <a:ext cx="1009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26</xdr:row>
      <xdr:rowOff>19050</xdr:rowOff>
    </xdr:from>
    <xdr:to>
      <xdr:col>13</xdr:col>
      <xdr:colOff>657225</xdr:colOff>
      <xdr:row>123</xdr:row>
      <xdr:rowOff>133350</xdr:rowOff>
    </xdr:to>
    <xdr:sp macro="" textlink="">
      <xdr:nvSpPr>
        <xdr:cNvPr id="9365" name="Picture 4">
          <a:extLst>
            <a:ext uri="{FF2B5EF4-FFF2-40B4-BE49-F238E27FC236}">
              <a16:creationId xmlns:a16="http://schemas.microsoft.com/office/drawing/2014/main" id="{00000000-0008-0000-0B00-000095240000}"/>
            </a:ext>
          </a:extLst>
        </xdr:cNvPr>
        <xdr:cNvSpPr>
          <a:spLocks noChangeAspect="1" noChangeArrowheads="1"/>
        </xdr:cNvSpPr>
      </xdr:nvSpPr>
      <xdr:spPr bwMode="auto">
        <a:xfrm>
          <a:off x="4657725" y="4752975"/>
          <a:ext cx="49530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95250</xdr:colOff>
      <xdr:row>25</xdr:row>
      <xdr:rowOff>104775</xdr:rowOff>
    </xdr:from>
    <xdr:to>
      <xdr:col>13</xdr:col>
      <xdr:colOff>723900</xdr:colOff>
      <xdr:row>123</xdr:row>
      <xdr:rowOff>95250</xdr:rowOff>
    </xdr:to>
    <xdr:pic>
      <xdr:nvPicPr>
        <xdr:cNvPr id="9366" name="Picture 4">
          <a:extLst>
            <a:ext uri="{FF2B5EF4-FFF2-40B4-BE49-F238E27FC236}">
              <a16:creationId xmlns:a16="http://schemas.microsoft.com/office/drawing/2014/main" id="{00000000-0008-0000-0B00-00009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4676775"/>
          <a:ext cx="49434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938770</xdr:colOff>
      <xdr:row>13</xdr:row>
      <xdr:rowOff>85725</xdr:rowOff>
    </xdr:from>
    <xdr:to>
      <xdr:col>7</xdr:col>
      <xdr:colOff>809625</xdr:colOff>
      <xdr:row>29</xdr:row>
      <xdr:rowOff>128597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010FB9-703E-4365-BCAA-80438A304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0895" y="2295525"/>
          <a:ext cx="2099705" cy="288132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15</xdr:row>
      <xdr:rowOff>57150</xdr:rowOff>
    </xdr:from>
    <xdr:to>
      <xdr:col>3</xdr:col>
      <xdr:colOff>933450</xdr:colOff>
      <xdr:row>19</xdr:row>
      <xdr:rowOff>133350</xdr:rowOff>
    </xdr:to>
    <xdr:pic>
      <xdr:nvPicPr>
        <xdr:cNvPr id="2" name="Picture 3" descr="OPTIMA Compact pre setti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247900"/>
          <a:ext cx="7429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19</xdr:row>
      <xdr:rowOff>28575</xdr:rowOff>
    </xdr:from>
    <xdr:to>
      <xdr:col>4</xdr:col>
      <xdr:colOff>247650</xdr:colOff>
      <xdr:row>31</xdr:row>
      <xdr:rowOff>85725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22" t="22298" r="21896" b="6757"/>
        <a:stretch/>
      </xdr:blipFill>
      <xdr:spPr>
        <a:xfrm>
          <a:off x="1390650" y="3219450"/>
          <a:ext cx="3552825" cy="200025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15</xdr:row>
      <xdr:rowOff>45720</xdr:rowOff>
    </xdr:from>
    <xdr:to>
      <xdr:col>7</xdr:col>
      <xdr:colOff>590550</xdr:colOff>
      <xdr:row>21</xdr:row>
      <xdr:rowOff>47625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3" t="17089" r="24621" b="12924"/>
        <a:stretch/>
      </xdr:blipFill>
      <xdr:spPr>
        <a:xfrm>
          <a:off x="6115050" y="2398395"/>
          <a:ext cx="1000125" cy="98298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501361</xdr:colOff>
      <xdr:row>5</xdr:row>
      <xdr:rowOff>9525</xdr:rowOff>
    </xdr:from>
    <xdr:to>
      <xdr:col>8</xdr:col>
      <xdr:colOff>771525</xdr:colOff>
      <xdr:row>19</xdr:row>
      <xdr:rowOff>123092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C36EAD-74DC-412E-9B55-6C0B1A93D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4761" y="1123950"/>
          <a:ext cx="2813339" cy="238051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544432</xdr:colOff>
      <xdr:row>2</xdr:row>
      <xdr:rowOff>133350</xdr:rowOff>
    </xdr:from>
    <xdr:to>
      <xdr:col>8</xdr:col>
      <xdr:colOff>714375</xdr:colOff>
      <xdr:row>20</xdr:row>
      <xdr:rowOff>466725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9E6D68-448E-426E-98F8-7F04D99F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107" y="666750"/>
          <a:ext cx="3560843" cy="33528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80346</xdr:colOff>
      <xdr:row>6</xdr:row>
      <xdr:rowOff>97871</xdr:rowOff>
    </xdr:from>
    <xdr:to>
      <xdr:col>1</xdr:col>
      <xdr:colOff>821094</xdr:colOff>
      <xdr:row>11</xdr:row>
      <xdr:rowOff>19050</xdr:rowOff>
    </xdr:to>
    <xdr:pic>
      <xdr:nvPicPr>
        <xdr:cNvPr id="2" name="Picture 3" descr="OPTIMA Compact pre setting">
          <a:extLst>
            <a:ext uri="{FF2B5EF4-FFF2-40B4-BE49-F238E27FC236}">
              <a16:creationId xmlns:a16="http://schemas.microsoft.com/office/drawing/2014/main" id="{3224DED0-3DB9-4303-BF43-2E13B365A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496" y="1288496"/>
          <a:ext cx="740748" cy="730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7</xdr:row>
      <xdr:rowOff>123315</xdr:rowOff>
    </xdr:from>
    <xdr:to>
      <xdr:col>7</xdr:col>
      <xdr:colOff>981075</xdr:colOff>
      <xdr:row>28</xdr:row>
      <xdr:rowOff>133731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AB298F9C-ABAD-43F6-BAB4-C58A8DAFB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1475865"/>
          <a:ext cx="1952625" cy="3439416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638173</xdr:colOff>
      <xdr:row>2</xdr:row>
      <xdr:rowOff>123824</xdr:rowOff>
    </xdr:from>
    <xdr:to>
      <xdr:col>6</xdr:col>
      <xdr:colOff>727796</xdr:colOff>
      <xdr:row>10</xdr:row>
      <xdr:rowOff>66674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34AA1AEE-74B4-423A-A65F-C9AB4352A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018" t="3442" r="4075" b="48821"/>
        <a:stretch/>
      </xdr:blipFill>
      <xdr:spPr>
        <a:xfrm>
          <a:off x="4219573" y="657224"/>
          <a:ext cx="3232873" cy="1247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687380</xdr:colOff>
      <xdr:row>2</xdr:row>
      <xdr:rowOff>65556</xdr:rowOff>
    </xdr:from>
    <xdr:to>
      <xdr:col>9</xdr:col>
      <xdr:colOff>398631</xdr:colOff>
      <xdr:row>20</xdr:row>
      <xdr:rowOff>76201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2" t="15055" r="34082" b="11296"/>
        <a:stretch/>
      </xdr:blipFill>
      <xdr:spPr>
        <a:xfrm>
          <a:off x="5783255" y="598956"/>
          <a:ext cx="1854376" cy="2820520"/>
        </a:xfrm>
        <a:prstGeom prst="rect">
          <a:avLst/>
        </a:prstGeom>
      </xdr:spPr>
    </xdr:pic>
    <xdr:clientData/>
  </xdr:twoCellAnchor>
  <xdr:twoCellAnchor editAs="oneCell">
    <xdr:from>
      <xdr:col>5</xdr:col>
      <xdr:colOff>289900</xdr:colOff>
      <xdr:row>22</xdr:row>
      <xdr:rowOff>85725</xdr:rowOff>
    </xdr:from>
    <xdr:to>
      <xdr:col>10</xdr:col>
      <xdr:colOff>438150</xdr:colOff>
      <xdr:row>33</xdr:row>
      <xdr:rowOff>20400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8025" y="3600450"/>
          <a:ext cx="4053500" cy="171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1028700</xdr:colOff>
      <xdr:row>20</xdr:row>
      <xdr:rowOff>66675</xdr:rowOff>
    </xdr:from>
    <xdr:to>
      <xdr:col>5</xdr:col>
      <xdr:colOff>19050</xdr:colOff>
      <xdr:row>30</xdr:row>
      <xdr:rowOff>123825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86" t="15462" r="34998" b="12516"/>
        <a:stretch/>
      </xdr:blipFill>
      <xdr:spPr>
        <a:xfrm>
          <a:off x="2933700" y="3248025"/>
          <a:ext cx="1133475" cy="16859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691515</xdr:colOff>
      <xdr:row>8</xdr:row>
      <xdr:rowOff>28018</xdr:rowOff>
    </xdr:from>
    <xdr:ext cx="3973830" cy="4303246"/>
    <xdr:pic>
      <xdr:nvPicPr>
        <xdr:cNvPr id="2" name="Billede 1">
          <a:extLst>
            <a:ext uri="{FF2B5EF4-FFF2-40B4-BE49-F238E27FC236}">
              <a16:creationId xmlns:a16="http://schemas.microsoft.com/office/drawing/2014/main" id="{CA73F757-1414-4B29-954E-6EA152AF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8390" y="1323418"/>
          <a:ext cx="3973830" cy="4303246"/>
        </a:xfrm>
        <a:prstGeom prst="rect">
          <a:avLst/>
        </a:prstGeom>
      </xdr:spPr>
    </xdr:pic>
    <xdr:clientData/>
  </xdr:oneCellAnchor>
  <xdr:oneCellAnchor>
    <xdr:from>
      <xdr:col>0</xdr:col>
      <xdr:colOff>1657131</xdr:colOff>
      <xdr:row>6</xdr:row>
      <xdr:rowOff>85725</xdr:rowOff>
    </xdr:from>
    <xdr:ext cx="1018323" cy="945515"/>
    <xdr:pic>
      <xdr:nvPicPr>
        <xdr:cNvPr id="3" name="Billede 2">
          <a:extLst>
            <a:ext uri="{FF2B5EF4-FFF2-40B4-BE49-F238E27FC236}">
              <a16:creationId xmlns:a16="http://schemas.microsoft.com/office/drawing/2014/main" id="{612F555D-1A57-4304-8187-A50809A3D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331" y="1057275"/>
          <a:ext cx="1018323" cy="945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838200</xdr:colOff>
      <xdr:row>16</xdr:row>
      <xdr:rowOff>142875</xdr:rowOff>
    </xdr:from>
    <xdr:to>
      <xdr:col>7</xdr:col>
      <xdr:colOff>150450</xdr:colOff>
      <xdr:row>18</xdr:row>
      <xdr:rowOff>71025</xdr:rowOff>
    </xdr:to>
    <xdr:sp macro="" textlink="">
      <xdr:nvSpPr>
        <xdr:cNvPr id="4" name="Tekstfelt 3">
          <a:extLst>
            <a:ext uri="{FF2B5EF4-FFF2-40B4-BE49-F238E27FC236}">
              <a16:creationId xmlns:a16="http://schemas.microsoft.com/office/drawing/2014/main" id="{730C23E9-3FEF-44A3-AD52-3A42C4B50D5F}"/>
            </a:ext>
          </a:extLst>
        </xdr:cNvPr>
        <xdr:cNvSpPr txBox="1"/>
      </xdr:nvSpPr>
      <xdr:spPr>
        <a:xfrm>
          <a:off x="4133850" y="2733675"/>
          <a:ext cx="150450" cy="252000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1"/>
        <a:lstStyle/>
        <a:p>
          <a:r>
            <a:rPr lang="da-DK" sz="1100" b="1">
              <a:solidFill>
                <a:schemeClr val="bg1"/>
              </a:solidFill>
            </a:rPr>
            <a:t>P1</a:t>
          </a:r>
        </a:p>
      </xdr:txBody>
    </xdr:sp>
    <xdr:clientData/>
  </xdr:twoCellAnchor>
  <xdr:twoCellAnchor>
    <xdr:from>
      <xdr:col>5</xdr:col>
      <xdr:colOff>180976</xdr:colOff>
      <xdr:row>29</xdr:row>
      <xdr:rowOff>9525</xdr:rowOff>
    </xdr:from>
    <xdr:to>
      <xdr:col>5</xdr:col>
      <xdr:colOff>540976</xdr:colOff>
      <xdr:row>30</xdr:row>
      <xdr:rowOff>90075</xdr:rowOff>
    </xdr:to>
    <xdr:sp macro="" textlink="">
      <xdr:nvSpPr>
        <xdr:cNvPr id="5" name="Tekstfelt 4">
          <a:extLst>
            <a:ext uri="{FF2B5EF4-FFF2-40B4-BE49-F238E27FC236}">
              <a16:creationId xmlns:a16="http://schemas.microsoft.com/office/drawing/2014/main" id="{415B7FE6-B614-4875-9C46-2CD94213DB44}"/>
            </a:ext>
          </a:extLst>
        </xdr:cNvPr>
        <xdr:cNvSpPr txBox="1"/>
      </xdr:nvSpPr>
      <xdr:spPr>
        <a:xfrm>
          <a:off x="3133726" y="4705350"/>
          <a:ext cx="360000" cy="24247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1"/>
        <a:lstStyle/>
        <a:p>
          <a:r>
            <a:rPr lang="da-DK" sz="1100" b="1">
              <a:solidFill>
                <a:schemeClr val="tx1"/>
              </a:solidFill>
            </a:rPr>
            <a:t>P2</a:t>
          </a:r>
        </a:p>
      </xdr:txBody>
    </xdr:sp>
    <xdr:clientData/>
  </xdr:twoCellAnchor>
  <xdr:twoCellAnchor>
    <xdr:from>
      <xdr:col>4</xdr:col>
      <xdr:colOff>180976</xdr:colOff>
      <xdr:row>15</xdr:row>
      <xdr:rowOff>116203</xdr:rowOff>
    </xdr:from>
    <xdr:to>
      <xdr:col>4</xdr:col>
      <xdr:colOff>540976</xdr:colOff>
      <xdr:row>17</xdr:row>
      <xdr:rowOff>44353</xdr:rowOff>
    </xdr:to>
    <xdr:sp macro="" textlink="">
      <xdr:nvSpPr>
        <xdr:cNvPr id="6" name="Tekstfelt 5">
          <a:extLst>
            <a:ext uri="{FF2B5EF4-FFF2-40B4-BE49-F238E27FC236}">
              <a16:creationId xmlns:a16="http://schemas.microsoft.com/office/drawing/2014/main" id="{6BAE44F7-55D3-4810-B92D-83DF8B6C74A0}"/>
            </a:ext>
          </a:extLst>
        </xdr:cNvPr>
        <xdr:cNvSpPr txBox="1"/>
      </xdr:nvSpPr>
      <xdr:spPr>
        <a:xfrm>
          <a:off x="2543176" y="2545078"/>
          <a:ext cx="360000" cy="252000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1"/>
        <a:lstStyle/>
        <a:p>
          <a:r>
            <a:rPr lang="da-DK" sz="1100" b="1">
              <a:solidFill>
                <a:schemeClr val="bg1"/>
              </a:solidFill>
            </a:rPr>
            <a:t>P3</a:t>
          </a:r>
        </a:p>
      </xdr:txBody>
    </xdr:sp>
    <xdr:clientData/>
  </xdr:twoCellAnchor>
  <xdr:twoCellAnchor>
    <xdr:from>
      <xdr:col>5</xdr:col>
      <xdr:colOff>161924</xdr:colOff>
      <xdr:row>25</xdr:row>
      <xdr:rowOff>9526</xdr:rowOff>
    </xdr:from>
    <xdr:to>
      <xdr:col>5</xdr:col>
      <xdr:colOff>533399</xdr:colOff>
      <xdr:row>26</xdr:row>
      <xdr:rowOff>66676</xdr:rowOff>
    </xdr:to>
    <xdr:sp macro="" textlink="">
      <xdr:nvSpPr>
        <xdr:cNvPr id="7" name="Pil: nedad 6">
          <a:extLst>
            <a:ext uri="{FF2B5EF4-FFF2-40B4-BE49-F238E27FC236}">
              <a16:creationId xmlns:a16="http://schemas.microsoft.com/office/drawing/2014/main" id="{F40B7730-B48D-4283-B676-79CB37846241}"/>
            </a:ext>
          </a:extLst>
        </xdr:cNvPr>
        <xdr:cNvSpPr/>
      </xdr:nvSpPr>
      <xdr:spPr>
        <a:xfrm rot="5634048">
          <a:off x="3190874" y="3981451"/>
          <a:ext cx="219075" cy="371475"/>
        </a:xfrm>
        <a:prstGeom prst="downArrow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501361</xdr:colOff>
      <xdr:row>5</xdr:row>
      <xdr:rowOff>9525</xdr:rowOff>
    </xdr:from>
    <xdr:to>
      <xdr:col>8</xdr:col>
      <xdr:colOff>781050</xdr:colOff>
      <xdr:row>19</xdr:row>
      <xdr:rowOff>130712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3E4559-F474-4DFC-849D-6381868A6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4761" y="1123950"/>
          <a:ext cx="2822864" cy="238813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544432</xdr:colOff>
      <xdr:row>2</xdr:row>
      <xdr:rowOff>133350</xdr:rowOff>
    </xdr:from>
    <xdr:to>
      <xdr:col>8</xdr:col>
      <xdr:colOff>702945</xdr:colOff>
      <xdr:row>21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BDE2A1-2CC1-4202-893A-E7184A06F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107" y="666750"/>
          <a:ext cx="3549413" cy="3371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1008062</xdr:colOff>
      <xdr:row>37</xdr:row>
      <xdr:rowOff>87312</xdr:rowOff>
    </xdr:from>
    <xdr:to>
      <xdr:col>4</xdr:col>
      <xdr:colOff>207962</xdr:colOff>
      <xdr:row>45</xdr:row>
      <xdr:rowOff>36512</xdr:rowOff>
    </xdr:to>
    <xdr:pic>
      <xdr:nvPicPr>
        <xdr:cNvPr id="3" name="Billede 6">
          <a:extLst>
            <a:ext uri="{FF2B5EF4-FFF2-40B4-BE49-F238E27FC236}">
              <a16:creationId xmlns:a16="http://schemas.microsoft.com/office/drawing/2014/main" id="{26E9AFFC-4EE0-4877-B6FC-84216C9B0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5062" y="6183312"/>
          <a:ext cx="1343025" cy="125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104775</xdr:colOff>
      <xdr:row>7</xdr:row>
      <xdr:rowOff>38100</xdr:rowOff>
    </xdr:from>
    <xdr:to>
      <xdr:col>9</xdr:col>
      <xdr:colOff>328844</xdr:colOff>
      <xdr:row>27</xdr:row>
      <xdr:rowOff>57151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1F67DBC1-3DB6-45B7-96FD-17198DF458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1" r="12312" b="1814"/>
        <a:stretch/>
      </xdr:blipFill>
      <xdr:spPr>
        <a:xfrm>
          <a:off x="6677025" y="1247775"/>
          <a:ext cx="2129069" cy="32766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723900</xdr:colOff>
      <xdr:row>19</xdr:row>
      <xdr:rowOff>38100</xdr:rowOff>
    </xdr:from>
    <xdr:to>
      <xdr:col>5</xdr:col>
      <xdr:colOff>219075</xdr:colOff>
      <xdr:row>29</xdr:row>
      <xdr:rowOff>0</xdr:rowOff>
    </xdr:to>
    <xdr:pic>
      <xdr:nvPicPr>
        <xdr:cNvPr id="2157" name="Picture 1">
          <a:extLst>
            <a:ext uri="{FF2B5EF4-FFF2-40B4-BE49-F238E27FC236}">
              <a16:creationId xmlns:a16="http://schemas.microsoft.com/office/drawing/2014/main" id="{00000000-0008-0000-02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3228975"/>
          <a:ext cx="16383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21</xdr:row>
      <xdr:rowOff>152400</xdr:rowOff>
    </xdr:from>
    <xdr:to>
      <xdr:col>10</xdr:col>
      <xdr:colOff>1314450</xdr:colOff>
      <xdr:row>32</xdr:row>
      <xdr:rowOff>142875</xdr:rowOff>
    </xdr:to>
    <xdr:pic>
      <xdr:nvPicPr>
        <xdr:cNvPr id="2158" name="Picture 2">
          <a:extLst>
            <a:ext uri="{FF2B5EF4-FFF2-40B4-BE49-F238E27FC236}">
              <a16:creationId xmlns:a16="http://schemas.microsoft.com/office/drawing/2014/main" id="{00000000-0008-0000-02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3676650"/>
          <a:ext cx="28479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200025</xdr:colOff>
      <xdr:row>2</xdr:row>
      <xdr:rowOff>47625</xdr:rowOff>
    </xdr:from>
    <xdr:to>
      <xdr:col>10</xdr:col>
      <xdr:colOff>581025</xdr:colOff>
      <xdr:row>22</xdr:row>
      <xdr:rowOff>9525</xdr:rowOff>
    </xdr:to>
    <xdr:pic>
      <xdr:nvPicPr>
        <xdr:cNvPr id="2159" name="Picture 3" descr="OPTIMA frit lille copy">
          <a:extLst>
            <a:ext uri="{FF2B5EF4-FFF2-40B4-BE49-F238E27FC236}">
              <a16:creationId xmlns:a16="http://schemas.microsoft.com/office/drawing/2014/main" id="{00000000-0008-0000-0200-00006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581025"/>
          <a:ext cx="2524125" cy="311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161925</xdr:colOff>
      <xdr:row>12</xdr:row>
      <xdr:rowOff>123825</xdr:rowOff>
    </xdr:from>
    <xdr:to>
      <xdr:col>10</xdr:col>
      <xdr:colOff>833306</xdr:colOff>
      <xdr:row>15</xdr:row>
      <xdr:rowOff>90326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A32C9F3-87F4-4342-B1EB-BAA113A3865B}"/>
            </a:ext>
          </a:extLst>
        </xdr:cNvPr>
        <xdr:cNvSpPr txBox="1"/>
      </xdr:nvSpPr>
      <xdr:spPr>
        <a:xfrm rot="19882195">
          <a:off x="5257800" y="2171700"/>
          <a:ext cx="2814506" cy="45227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2400" b="1">
              <a:solidFill>
                <a:srgbClr val="FF0000"/>
              </a:solidFill>
            </a:rPr>
            <a:t>OBSOLETE PRODUCT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1009650</xdr:colOff>
      <xdr:row>26</xdr:row>
      <xdr:rowOff>31754</xdr:rowOff>
    </xdr:from>
    <xdr:to>
      <xdr:col>4</xdr:col>
      <xdr:colOff>285750</xdr:colOff>
      <xdr:row>34</xdr:row>
      <xdr:rowOff>136529</xdr:rowOff>
    </xdr:to>
    <xdr:pic>
      <xdr:nvPicPr>
        <xdr:cNvPr id="3182" name="Picture 3" descr="OPTIMA Compact pre setting">
          <a:extLst>
            <a:ext uri="{FF2B5EF4-FFF2-40B4-BE49-F238E27FC236}">
              <a16:creationId xmlns:a16="http://schemas.microsoft.com/office/drawing/2014/main" id="{00000000-0008-0000-0300-00006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9067" y="4127504"/>
          <a:ext cx="1424516" cy="137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24</xdr:row>
      <xdr:rowOff>9525</xdr:rowOff>
    </xdr:from>
    <xdr:to>
      <xdr:col>9</xdr:col>
      <xdr:colOff>1276350</xdr:colOff>
      <xdr:row>36</xdr:row>
      <xdr:rowOff>85725</xdr:rowOff>
    </xdr:to>
    <xdr:pic>
      <xdr:nvPicPr>
        <xdr:cNvPr id="3183" name="Picture 5">
          <a:extLst>
            <a:ext uri="{FF2B5EF4-FFF2-40B4-BE49-F238E27FC236}">
              <a16:creationId xmlns:a16="http://schemas.microsoft.com/office/drawing/2014/main" id="{00000000-0008-0000-0300-00006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3533775"/>
          <a:ext cx="3152775" cy="2038350"/>
        </a:xfrm>
        <a:prstGeom prst="rect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</xdr:row>
      <xdr:rowOff>92111</xdr:rowOff>
    </xdr:from>
    <xdr:to>
      <xdr:col>9</xdr:col>
      <xdr:colOff>714376</xdr:colOff>
      <xdr:row>20</xdr:row>
      <xdr:rowOff>137165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625511"/>
          <a:ext cx="1905001" cy="28454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28</xdr:row>
      <xdr:rowOff>28575</xdr:rowOff>
    </xdr:from>
    <xdr:to>
      <xdr:col>9</xdr:col>
      <xdr:colOff>762000</xdr:colOff>
      <xdr:row>40</xdr:row>
      <xdr:rowOff>117475</xdr:rowOff>
    </xdr:to>
    <xdr:pic>
      <xdr:nvPicPr>
        <xdr:cNvPr id="2" name="Billede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07" t="15598" r="7175" b="13535"/>
        <a:stretch>
          <a:fillRect/>
        </a:stretch>
      </xdr:blipFill>
      <xdr:spPr bwMode="auto">
        <a:xfrm>
          <a:off x="6019800" y="3200400"/>
          <a:ext cx="3086100" cy="206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1008062</xdr:colOff>
      <xdr:row>37</xdr:row>
      <xdr:rowOff>87312</xdr:rowOff>
    </xdr:from>
    <xdr:to>
      <xdr:col>4</xdr:col>
      <xdr:colOff>225107</xdr:colOff>
      <xdr:row>45</xdr:row>
      <xdr:rowOff>36512</xdr:rowOff>
    </xdr:to>
    <xdr:pic>
      <xdr:nvPicPr>
        <xdr:cNvPr id="3" name="Billede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1712" y="3754437"/>
          <a:ext cx="1343025" cy="125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357188</xdr:colOff>
      <xdr:row>2</xdr:row>
      <xdr:rowOff>46109</xdr:rowOff>
    </xdr:from>
    <xdr:to>
      <xdr:col>8</xdr:col>
      <xdr:colOff>688975</xdr:colOff>
      <xdr:row>17</xdr:row>
      <xdr:rowOff>34925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6088" y="579509"/>
          <a:ext cx="1531937" cy="23033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20</xdr:row>
      <xdr:rowOff>57150</xdr:rowOff>
    </xdr:from>
    <xdr:to>
      <xdr:col>9</xdr:col>
      <xdr:colOff>923925</xdr:colOff>
      <xdr:row>30</xdr:row>
      <xdr:rowOff>123825</xdr:rowOff>
    </xdr:to>
    <xdr:pic>
      <xdr:nvPicPr>
        <xdr:cNvPr id="5284" name="Picture 1">
          <a:extLst>
            <a:ext uri="{FF2B5EF4-FFF2-40B4-BE49-F238E27FC236}">
              <a16:creationId xmlns:a16="http://schemas.microsoft.com/office/drawing/2014/main" id="{00000000-0008-0000-0500-0000A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3590925"/>
          <a:ext cx="37719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438150</xdr:colOff>
      <xdr:row>28</xdr:row>
      <xdr:rowOff>123825</xdr:rowOff>
    </xdr:from>
    <xdr:to>
      <xdr:col>10</xdr:col>
      <xdr:colOff>28575</xdr:colOff>
      <xdr:row>32</xdr:row>
      <xdr:rowOff>9525</xdr:rowOff>
    </xdr:to>
    <xdr:sp macro="" textlink="">
      <xdr:nvSpPr>
        <xdr:cNvPr id="5199" name="Text Box 3">
          <a:extLst>
            <a:ext uri="{FF2B5EF4-FFF2-40B4-BE49-F238E27FC236}">
              <a16:creationId xmlns:a16="http://schemas.microsoft.com/office/drawing/2014/main" id="{00000000-0008-0000-0500-00004F140000}"/>
            </a:ext>
          </a:extLst>
        </xdr:cNvPr>
        <xdr:cNvSpPr txBox="1">
          <a:spLocks noChangeArrowheads="1"/>
        </xdr:cNvSpPr>
      </xdr:nvSpPr>
      <xdr:spPr bwMode="auto">
        <a:xfrm>
          <a:off x="5572125" y="4962525"/>
          <a:ext cx="21431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∆Pp = Pump pressure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∆Ps = Differential pressure setting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∆Pv = Pressure loss across valve</a:t>
          </a:r>
          <a:endParaRPr lang="da-DK"/>
        </a:p>
      </xdr:txBody>
    </xdr:sp>
    <xdr:clientData/>
  </xdr:twoCellAnchor>
  <xdr:twoCellAnchor editAs="oneCell">
    <xdr:from>
      <xdr:col>4</xdr:col>
      <xdr:colOff>152400</xdr:colOff>
      <xdr:row>20</xdr:row>
      <xdr:rowOff>133350</xdr:rowOff>
    </xdr:from>
    <xdr:to>
      <xdr:col>9</xdr:col>
      <xdr:colOff>904875</xdr:colOff>
      <xdr:row>31</xdr:row>
      <xdr:rowOff>28575</xdr:rowOff>
    </xdr:to>
    <xdr:sp macro="" textlink="">
      <xdr:nvSpPr>
        <xdr:cNvPr id="5286" name="Picture 1">
          <a:extLst>
            <a:ext uri="{FF2B5EF4-FFF2-40B4-BE49-F238E27FC236}">
              <a16:creationId xmlns:a16="http://schemas.microsoft.com/office/drawing/2014/main" id="{00000000-0008-0000-0500-0000A6140000}"/>
            </a:ext>
          </a:extLst>
        </xdr:cNvPr>
        <xdr:cNvSpPr>
          <a:spLocks noChangeAspect="1" noChangeArrowheads="1"/>
        </xdr:cNvSpPr>
      </xdr:nvSpPr>
      <xdr:spPr bwMode="auto">
        <a:xfrm>
          <a:off x="3457575" y="3667125"/>
          <a:ext cx="37719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47625</xdr:colOff>
      <xdr:row>2</xdr:row>
      <xdr:rowOff>19050</xdr:rowOff>
    </xdr:from>
    <xdr:to>
      <xdr:col>9</xdr:col>
      <xdr:colOff>1323975</xdr:colOff>
      <xdr:row>15</xdr:row>
      <xdr:rowOff>152400</xdr:rowOff>
    </xdr:to>
    <xdr:pic>
      <xdr:nvPicPr>
        <xdr:cNvPr id="5287" name="Picture 2" descr="53-3010 small">
          <a:extLst>
            <a:ext uri="{FF2B5EF4-FFF2-40B4-BE49-F238E27FC236}">
              <a16:creationId xmlns:a16="http://schemas.microsoft.com/office/drawing/2014/main" id="{00000000-0008-0000-0500-0000A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552450"/>
          <a:ext cx="1990725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438150</xdr:colOff>
      <xdr:row>28</xdr:row>
      <xdr:rowOff>123825</xdr:rowOff>
    </xdr:from>
    <xdr:to>
      <xdr:col>10</xdr:col>
      <xdr:colOff>28575</xdr:colOff>
      <xdr:row>32</xdr:row>
      <xdr:rowOff>9525</xdr:rowOff>
    </xdr:to>
    <xdr:sp macro="" textlink="">
      <xdr:nvSpPr>
        <xdr:cNvPr id="5123" name="Text Box 3">
          <a:extLst>
            <a:ext uri="{FF2B5EF4-FFF2-40B4-BE49-F238E27FC236}">
              <a16:creationId xmlns:a16="http://schemas.microsoft.com/office/drawing/2014/main" id="{00000000-0008-0000-0500-000003140000}"/>
            </a:ext>
          </a:extLst>
        </xdr:cNvPr>
        <xdr:cNvSpPr txBox="1">
          <a:spLocks noChangeArrowheads="1"/>
        </xdr:cNvSpPr>
      </xdr:nvSpPr>
      <xdr:spPr bwMode="auto">
        <a:xfrm>
          <a:off x="5572125" y="4933950"/>
          <a:ext cx="21431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∆Pp = Pump pressure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∆Ps = Differential pressure setting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∆Pv = Pressure loss across valve</a:t>
          </a:r>
        </a:p>
      </xdr:txBody>
    </xdr:sp>
    <xdr:clientData/>
  </xdr:twoCellAnchor>
  <xdr:twoCellAnchor editAs="oneCell">
    <xdr:from>
      <xdr:col>5</xdr:col>
      <xdr:colOff>28575</xdr:colOff>
      <xdr:row>10</xdr:row>
      <xdr:rowOff>95250</xdr:rowOff>
    </xdr:from>
    <xdr:to>
      <xdr:col>8</xdr:col>
      <xdr:colOff>47625</xdr:colOff>
      <xdr:row>18</xdr:row>
      <xdr:rowOff>9525</xdr:rowOff>
    </xdr:to>
    <xdr:pic>
      <xdr:nvPicPr>
        <xdr:cNvPr id="5289" name="Picture 5">
          <a:extLst>
            <a:ext uri="{FF2B5EF4-FFF2-40B4-BE49-F238E27FC236}">
              <a16:creationId xmlns:a16="http://schemas.microsoft.com/office/drawing/2014/main" id="{00000000-0008-0000-0500-0000A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981200"/>
          <a:ext cx="12763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314325</xdr:colOff>
      <xdr:row>8</xdr:row>
      <xdr:rowOff>152400</xdr:rowOff>
    </xdr:from>
    <xdr:to>
      <xdr:col>9</xdr:col>
      <xdr:colOff>1157156</xdr:colOff>
      <xdr:row>11</xdr:row>
      <xdr:rowOff>109376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E015CFD-8E86-48CF-BF67-2D6A8D66708F}"/>
            </a:ext>
          </a:extLst>
        </xdr:cNvPr>
        <xdr:cNvSpPr txBox="1"/>
      </xdr:nvSpPr>
      <xdr:spPr>
        <a:xfrm rot="19882195">
          <a:off x="4667250" y="1704975"/>
          <a:ext cx="2814506" cy="45227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2400" b="1">
              <a:solidFill>
                <a:srgbClr val="FF0000"/>
              </a:solidFill>
            </a:rPr>
            <a:t>OBSOLETE PRODUCT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21</xdr:row>
      <xdr:rowOff>19050</xdr:rowOff>
    </xdr:from>
    <xdr:to>
      <xdr:col>9</xdr:col>
      <xdr:colOff>1057275</xdr:colOff>
      <xdr:row>31</xdr:row>
      <xdr:rowOff>76200</xdr:rowOff>
    </xdr:to>
    <xdr:pic>
      <xdr:nvPicPr>
        <xdr:cNvPr id="10382" name="Picture 1">
          <a:extLst>
            <a:ext uri="{FF2B5EF4-FFF2-40B4-BE49-F238E27FC236}">
              <a16:creationId xmlns:a16="http://schemas.microsoft.com/office/drawing/2014/main" id="{00000000-0008-0000-0600-00008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2419350"/>
          <a:ext cx="37719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333375</xdr:colOff>
      <xdr:row>21</xdr:row>
      <xdr:rowOff>38100</xdr:rowOff>
    </xdr:from>
    <xdr:to>
      <xdr:col>9</xdr:col>
      <xdr:colOff>1095375</xdr:colOff>
      <xdr:row>31</xdr:row>
      <xdr:rowOff>104775</xdr:rowOff>
    </xdr:to>
    <xdr:sp macro="" textlink="">
      <xdr:nvSpPr>
        <xdr:cNvPr id="10383" name="Picture 1">
          <a:extLst>
            <a:ext uri="{FF2B5EF4-FFF2-40B4-BE49-F238E27FC236}">
              <a16:creationId xmlns:a16="http://schemas.microsoft.com/office/drawing/2014/main" id="{00000000-0008-0000-0600-00008F280000}"/>
            </a:ext>
          </a:extLst>
        </xdr:cNvPr>
        <xdr:cNvSpPr>
          <a:spLocks noChangeAspect="1" noChangeArrowheads="1"/>
        </xdr:cNvSpPr>
      </xdr:nvSpPr>
      <xdr:spPr bwMode="auto">
        <a:xfrm>
          <a:off x="3638550" y="2438400"/>
          <a:ext cx="37719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71451</xdr:colOff>
      <xdr:row>33</xdr:row>
      <xdr:rowOff>142883</xdr:rowOff>
    </xdr:from>
    <xdr:to>
      <xdr:col>9</xdr:col>
      <xdr:colOff>1349375</xdr:colOff>
      <xdr:row>36</xdr:row>
      <xdr:rowOff>158750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5683264" y="4040196"/>
          <a:ext cx="1992299" cy="492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∆Pp = Pump pressure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∆Ps = Differential pressure setting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∆Pv = Pressure loss across valve</a:t>
          </a:r>
        </a:p>
      </xdr:txBody>
    </xdr:sp>
    <xdr:clientData/>
  </xdr:twoCellAnchor>
  <xdr:twoCellAnchor editAs="oneCell">
    <xdr:from>
      <xdr:col>4</xdr:col>
      <xdr:colOff>76200</xdr:colOff>
      <xdr:row>20</xdr:row>
      <xdr:rowOff>19050</xdr:rowOff>
    </xdr:from>
    <xdr:to>
      <xdr:col>4</xdr:col>
      <xdr:colOff>880110</xdr:colOff>
      <xdr:row>25</xdr:row>
      <xdr:rowOff>149225</xdr:rowOff>
    </xdr:to>
    <xdr:pic>
      <xdr:nvPicPr>
        <xdr:cNvPr id="10385" name="Billede 6">
          <a:extLst>
            <a:ext uri="{FF2B5EF4-FFF2-40B4-BE49-F238E27FC236}">
              <a16:creationId xmlns:a16="http://schemas.microsoft.com/office/drawing/2014/main" id="{00000000-0008-0000-0600-000091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2238375"/>
          <a:ext cx="8096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314325</xdr:colOff>
      <xdr:row>1</xdr:row>
      <xdr:rowOff>171450</xdr:rowOff>
    </xdr:from>
    <xdr:to>
      <xdr:col>10</xdr:col>
      <xdr:colOff>224790</xdr:colOff>
      <xdr:row>14</xdr:row>
      <xdr:rowOff>33338</xdr:rowOff>
    </xdr:to>
    <xdr:pic>
      <xdr:nvPicPr>
        <xdr:cNvPr id="10386" name="Billede 7">
          <a:extLst>
            <a:ext uri="{FF2B5EF4-FFF2-40B4-BE49-F238E27FC236}">
              <a16:creationId xmlns:a16="http://schemas.microsoft.com/office/drawing/2014/main" id="{00000000-0008-0000-0600-000092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438150"/>
          <a:ext cx="283845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847725</xdr:colOff>
      <xdr:row>19</xdr:row>
      <xdr:rowOff>57150</xdr:rowOff>
    </xdr:from>
    <xdr:to>
      <xdr:col>8</xdr:col>
      <xdr:colOff>942975</xdr:colOff>
      <xdr:row>30</xdr:row>
      <xdr:rowOff>85725</xdr:rowOff>
    </xdr:to>
    <xdr:pic>
      <xdr:nvPicPr>
        <xdr:cNvPr id="6675" name="Picture 3">
          <a:extLst>
            <a:ext uri="{FF2B5EF4-FFF2-40B4-BE49-F238E27FC236}">
              <a16:creationId xmlns:a16="http://schemas.microsoft.com/office/drawing/2014/main" id="{00000000-0008-0000-0700-00001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429000"/>
          <a:ext cx="363855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30</xdr:row>
      <xdr:rowOff>161925</xdr:rowOff>
    </xdr:from>
    <xdr:to>
      <xdr:col>1</xdr:col>
      <xdr:colOff>0</xdr:colOff>
      <xdr:row>42</xdr:row>
      <xdr:rowOff>0</xdr:rowOff>
    </xdr:to>
    <xdr:sp macro="" textlink="">
      <xdr:nvSpPr>
        <xdr:cNvPr id="6676" name="Rectangle 1">
          <a:extLst>
            <a:ext uri="{FF2B5EF4-FFF2-40B4-BE49-F238E27FC236}">
              <a16:creationId xmlns:a16="http://schemas.microsoft.com/office/drawing/2014/main" id="{00000000-0008-0000-0700-0000141A0000}"/>
            </a:ext>
          </a:extLst>
        </xdr:cNvPr>
        <xdr:cNvSpPr>
          <a:spLocks noChangeArrowheads="1"/>
        </xdr:cNvSpPr>
      </xdr:nvSpPr>
      <xdr:spPr bwMode="auto">
        <a:xfrm>
          <a:off x="419100" y="5324475"/>
          <a:ext cx="666750" cy="1809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FFFF" mc:Ignorable="a14" a14:legacySpreadsheetColorIndex="15">
            <a:alpha val="20000"/>
          </a:srgb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28575</xdr:colOff>
      <xdr:row>2</xdr:row>
      <xdr:rowOff>95250</xdr:rowOff>
    </xdr:from>
    <xdr:to>
      <xdr:col>9</xdr:col>
      <xdr:colOff>1019175</xdr:colOff>
      <xdr:row>16</xdr:row>
      <xdr:rowOff>66675</xdr:rowOff>
    </xdr:to>
    <xdr:pic>
      <xdr:nvPicPr>
        <xdr:cNvPr id="6677" name="Picture 2" descr="PV+S">
          <a:extLst>
            <a:ext uri="{FF2B5EF4-FFF2-40B4-BE49-F238E27FC236}">
              <a16:creationId xmlns:a16="http://schemas.microsoft.com/office/drawing/2014/main" id="{00000000-0008-0000-0700-00001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628650"/>
          <a:ext cx="3086100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876300</xdr:colOff>
      <xdr:row>19</xdr:row>
      <xdr:rowOff>19050</xdr:rowOff>
    </xdr:from>
    <xdr:to>
      <xdr:col>8</xdr:col>
      <xdr:colOff>971550</xdr:colOff>
      <xdr:row>30</xdr:row>
      <xdr:rowOff>19050</xdr:rowOff>
    </xdr:to>
    <xdr:sp macro="" textlink="">
      <xdr:nvSpPr>
        <xdr:cNvPr id="6678" name="Picture 3">
          <a:extLst>
            <a:ext uri="{FF2B5EF4-FFF2-40B4-BE49-F238E27FC236}">
              <a16:creationId xmlns:a16="http://schemas.microsoft.com/office/drawing/2014/main" id="{00000000-0008-0000-0700-0000161A000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3390900"/>
          <a:ext cx="36385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1028700</xdr:colOff>
      <xdr:row>27</xdr:row>
      <xdr:rowOff>123825</xdr:rowOff>
    </xdr:from>
    <xdr:to>
      <xdr:col>22</xdr:col>
      <xdr:colOff>228600</xdr:colOff>
      <xdr:row>31</xdr:row>
      <xdr:rowOff>0</xdr:rowOff>
    </xdr:to>
    <xdr:sp macro="" textlink="">
      <xdr:nvSpPr>
        <xdr:cNvPr id="9220" name="Text Box 4">
          <a:extLst>
            <a:ext uri="{FF2B5EF4-FFF2-40B4-BE49-F238E27FC236}">
              <a16:creationId xmlns:a16="http://schemas.microsoft.com/office/drawing/2014/main" id="{00000000-0008-0000-0700-000004240000}"/>
            </a:ext>
          </a:extLst>
        </xdr:cNvPr>
        <xdr:cNvSpPr txBox="1">
          <a:spLocks noChangeArrowheads="1"/>
        </xdr:cNvSpPr>
      </xdr:nvSpPr>
      <xdr:spPr bwMode="auto">
        <a:xfrm>
          <a:off x="6772275" y="4772025"/>
          <a:ext cx="29527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∆Pp = Pump pressure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∆Ps = Differential pressure setting</a:t>
          </a:r>
        </a:p>
        <a:p>
          <a:pPr algn="l" rtl="0">
            <a:defRPr sz="1000"/>
          </a:pPr>
          <a:r>
            <a:rPr lang="da-DK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∆Pv = Pressure loss across valve</a:t>
          </a:r>
        </a:p>
      </xdr:txBody>
    </xdr:sp>
    <xdr:clientData/>
  </xdr:twoCellAnchor>
  <xdr:twoCellAnchor>
    <xdr:from>
      <xdr:col>2</xdr:col>
      <xdr:colOff>895350</xdr:colOff>
      <xdr:row>20</xdr:row>
      <xdr:rowOff>9525</xdr:rowOff>
    </xdr:from>
    <xdr:to>
      <xdr:col>3</xdr:col>
      <xdr:colOff>666750</xdr:colOff>
      <xdr:row>26</xdr:row>
      <xdr:rowOff>161925</xdr:rowOff>
    </xdr:to>
    <xdr:pic>
      <xdr:nvPicPr>
        <xdr:cNvPr id="6680" name="Picture 5">
          <a:extLst>
            <a:ext uri="{FF2B5EF4-FFF2-40B4-BE49-F238E27FC236}">
              <a16:creationId xmlns:a16="http://schemas.microsoft.com/office/drawing/2014/main" id="{00000000-0008-0000-0700-00001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3552825"/>
          <a:ext cx="8191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304800</xdr:colOff>
      <xdr:row>22</xdr:row>
      <xdr:rowOff>66675</xdr:rowOff>
    </xdr:from>
    <xdr:to>
      <xdr:col>6</xdr:col>
      <xdr:colOff>514350</xdr:colOff>
      <xdr:row>23</xdr:row>
      <xdr:rowOff>76200</xdr:rowOff>
    </xdr:to>
    <xdr:sp macro="" textlink="">
      <xdr:nvSpPr>
        <xdr:cNvPr id="9222" name="Text Box 6">
          <a:extLst>
            <a:ext uri="{FF2B5EF4-FFF2-40B4-BE49-F238E27FC236}">
              <a16:creationId xmlns:a16="http://schemas.microsoft.com/office/drawing/2014/main" id="{00000000-0008-0000-0700-000006240000}"/>
            </a:ext>
          </a:extLst>
        </xdr:cNvPr>
        <xdr:cNvSpPr txBox="1">
          <a:spLocks noChangeArrowheads="1"/>
        </xdr:cNvSpPr>
      </xdr:nvSpPr>
      <xdr:spPr bwMode="auto">
        <a:xfrm>
          <a:off x="4667250" y="3905250"/>
          <a:ext cx="20955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</a:t>
          </a:r>
        </a:p>
      </xdr:txBody>
    </xdr:sp>
    <xdr:clientData/>
  </xdr:twoCellAnchor>
  <xdr:twoCellAnchor>
    <xdr:from>
      <xdr:col>7</xdr:col>
      <xdr:colOff>304800</xdr:colOff>
      <xdr:row>24</xdr:row>
      <xdr:rowOff>9525</xdr:rowOff>
    </xdr:from>
    <xdr:to>
      <xdr:col>7</xdr:col>
      <xdr:colOff>542925</xdr:colOff>
      <xdr:row>25</xdr:row>
      <xdr:rowOff>19050</xdr:rowOff>
    </xdr:to>
    <xdr:sp macro="" textlink="">
      <xdr:nvSpPr>
        <xdr:cNvPr id="9223" name="Text Box 7">
          <a:extLst>
            <a:ext uri="{FF2B5EF4-FFF2-40B4-BE49-F238E27FC236}">
              <a16:creationId xmlns:a16="http://schemas.microsoft.com/office/drawing/2014/main" id="{00000000-0008-0000-0700-000007240000}"/>
            </a:ext>
          </a:extLst>
        </xdr:cNvPr>
        <xdr:cNvSpPr txBox="1">
          <a:spLocks noChangeArrowheads="1"/>
        </xdr:cNvSpPr>
      </xdr:nvSpPr>
      <xdr:spPr bwMode="auto">
        <a:xfrm>
          <a:off x="6048375" y="4171950"/>
          <a:ext cx="2381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PV</a:t>
          </a:r>
        </a:p>
      </xdr:txBody>
    </xdr:sp>
    <xdr:clientData/>
  </xdr:twoCellAnchor>
  <xdr:twoCellAnchor>
    <xdr:from>
      <xdr:col>8</xdr:col>
      <xdr:colOff>590550</xdr:colOff>
      <xdr:row>5</xdr:row>
      <xdr:rowOff>47625</xdr:rowOff>
    </xdr:from>
    <xdr:to>
      <xdr:col>9</xdr:col>
      <xdr:colOff>733425</xdr:colOff>
      <xdr:row>6</xdr:row>
      <xdr:rowOff>57150</xdr:rowOff>
    </xdr:to>
    <xdr:sp macro="" textlink="">
      <xdr:nvSpPr>
        <xdr:cNvPr id="9225" name="Text Box 9">
          <a:extLst>
            <a:ext uri="{FF2B5EF4-FFF2-40B4-BE49-F238E27FC236}">
              <a16:creationId xmlns:a16="http://schemas.microsoft.com/office/drawing/2014/main" id="{00000000-0008-0000-0700-000009240000}"/>
            </a:ext>
          </a:extLst>
        </xdr:cNvPr>
        <xdr:cNvSpPr txBox="1">
          <a:spLocks noChangeArrowheads="1"/>
        </xdr:cNvSpPr>
      </xdr:nvSpPr>
      <xdr:spPr bwMode="auto">
        <a:xfrm>
          <a:off x="7381875" y="1076325"/>
          <a:ext cx="11906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S (Supply)</a:t>
          </a:r>
        </a:p>
      </xdr:txBody>
    </xdr:sp>
    <xdr:clientData/>
  </xdr:twoCellAnchor>
  <xdr:twoCellAnchor>
    <xdr:from>
      <xdr:col>7</xdr:col>
      <xdr:colOff>409575</xdr:colOff>
      <xdr:row>16</xdr:row>
      <xdr:rowOff>28575</xdr:rowOff>
    </xdr:from>
    <xdr:to>
      <xdr:col>8</xdr:col>
      <xdr:colOff>600075</xdr:colOff>
      <xdr:row>17</xdr:row>
      <xdr:rowOff>57150</xdr:rowOff>
    </xdr:to>
    <xdr:sp macro="" textlink="">
      <xdr:nvSpPr>
        <xdr:cNvPr id="9226" name="Text Box 10">
          <a:extLst>
            <a:ext uri="{FF2B5EF4-FFF2-40B4-BE49-F238E27FC236}">
              <a16:creationId xmlns:a16="http://schemas.microsoft.com/office/drawing/2014/main" id="{00000000-0008-0000-0700-00000A240000}"/>
            </a:ext>
          </a:extLst>
        </xdr:cNvPr>
        <xdr:cNvSpPr txBox="1">
          <a:spLocks noChangeArrowheads="1"/>
        </xdr:cNvSpPr>
      </xdr:nvSpPr>
      <xdr:spPr bwMode="auto">
        <a:xfrm>
          <a:off x="6153150" y="2876550"/>
          <a:ext cx="12382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PV (Return)</a:t>
          </a:r>
        </a:p>
      </xdr:txBody>
    </xdr:sp>
    <xdr:clientData/>
  </xdr:twoCellAnchor>
  <xdr:twoCellAnchor>
    <xdr:from>
      <xdr:col>1</xdr:col>
      <xdr:colOff>106680</xdr:colOff>
      <xdr:row>27</xdr:row>
      <xdr:rowOff>83820</xdr:rowOff>
    </xdr:from>
    <xdr:to>
      <xdr:col>1</xdr:col>
      <xdr:colOff>763905</xdr:colOff>
      <xdr:row>28</xdr:row>
      <xdr:rowOff>102870</xdr:rowOff>
    </xdr:to>
    <xdr:sp macro="" textlink="">
      <xdr:nvSpPr>
        <xdr:cNvPr id="9227" name="Text Box 11">
          <a:extLst>
            <a:ext uri="{FF2B5EF4-FFF2-40B4-BE49-F238E27FC236}">
              <a16:creationId xmlns:a16="http://schemas.microsoft.com/office/drawing/2014/main" id="{00000000-0008-0000-0700-00000B240000}"/>
            </a:ext>
          </a:extLst>
        </xdr:cNvPr>
        <xdr:cNvSpPr txBox="1">
          <a:spLocks noChangeArrowheads="1"/>
        </xdr:cNvSpPr>
      </xdr:nvSpPr>
      <xdr:spPr bwMode="auto">
        <a:xfrm>
          <a:off x="1226820" y="4876800"/>
          <a:ext cx="657225" cy="186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PV</a:t>
          </a:r>
        </a:p>
      </xdr:txBody>
    </xdr:sp>
    <xdr:clientData/>
  </xdr:twoCellAnchor>
  <xdr:twoCellAnchor>
    <xdr:from>
      <xdr:col>2</xdr:col>
      <xdr:colOff>1022985</xdr:colOff>
      <xdr:row>27</xdr:row>
      <xdr:rowOff>70485</xdr:rowOff>
    </xdr:from>
    <xdr:to>
      <xdr:col>3</xdr:col>
      <xdr:colOff>472440</xdr:colOff>
      <xdr:row>28</xdr:row>
      <xdr:rowOff>70485</xdr:rowOff>
    </xdr:to>
    <xdr:sp macro="" textlink="">
      <xdr:nvSpPr>
        <xdr:cNvPr id="9228" name="Text Box 12">
          <a:extLst>
            <a:ext uri="{FF2B5EF4-FFF2-40B4-BE49-F238E27FC236}">
              <a16:creationId xmlns:a16="http://schemas.microsoft.com/office/drawing/2014/main" id="{00000000-0008-0000-0700-00000C240000}"/>
            </a:ext>
          </a:extLst>
        </xdr:cNvPr>
        <xdr:cNvSpPr txBox="1">
          <a:spLocks noChangeArrowheads="1"/>
        </xdr:cNvSpPr>
      </xdr:nvSpPr>
      <xdr:spPr bwMode="auto">
        <a:xfrm>
          <a:off x="3263265" y="4863465"/>
          <a:ext cx="523875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a-DK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Frese S</a:t>
          </a:r>
        </a:p>
      </xdr:txBody>
    </xdr:sp>
    <xdr:clientData/>
  </xdr:twoCellAnchor>
  <xdr:twoCellAnchor>
    <xdr:from>
      <xdr:col>0</xdr:col>
      <xdr:colOff>419100</xdr:colOff>
      <xdr:row>31</xdr:row>
      <xdr:rowOff>9525</xdr:rowOff>
    </xdr:from>
    <xdr:to>
      <xdr:col>0</xdr:col>
      <xdr:colOff>419100</xdr:colOff>
      <xdr:row>42</xdr:row>
      <xdr:rowOff>9525</xdr:rowOff>
    </xdr:to>
    <xdr:sp macro="" textlink="">
      <xdr:nvSpPr>
        <xdr:cNvPr id="6687" name="Line 13">
          <a:extLst>
            <a:ext uri="{FF2B5EF4-FFF2-40B4-BE49-F238E27FC236}">
              <a16:creationId xmlns:a16="http://schemas.microsoft.com/office/drawing/2014/main" id="{00000000-0008-0000-0700-00001F1A0000}"/>
            </a:ext>
          </a:extLst>
        </xdr:cNvPr>
        <xdr:cNvSpPr>
          <a:spLocks noChangeShapeType="1"/>
        </xdr:cNvSpPr>
      </xdr:nvSpPr>
      <xdr:spPr bwMode="auto">
        <a:xfrm>
          <a:off x="419100" y="5343525"/>
          <a:ext cx="0" cy="180022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32</xdr:row>
      <xdr:rowOff>0</xdr:rowOff>
    </xdr:from>
    <xdr:to>
      <xdr:col>0</xdr:col>
      <xdr:colOff>1076325</xdr:colOff>
      <xdr:row>32</xdr:row>
      <xdr:rowOff>0</xdr:rowOff>
    </xdr:to>
    <xdr:sp macro="" textlink="">
      <xdr:nvSpPr>
        <xdr:cNvPr id="6688" name="Line 14">
          <a:extLst>
            <a:ext uri="{FF2B5EF4-FFF2-40B4-BE49-F238E27FC236}">
              <a16:creationId xmlns:a16="http://schemas.microsoft.com/office/drawing/2014/main" id="{00000000-0008-0000-0700-0000201A0000}"/>
            </a:ext>
          </a:extLst>
        </xdr:cNvPr>
        <xdr:cNvSpPr>
          <a:spLocks noChangeShapeType="1"/>
        </xdr:cNvSpPr>
      </xdr:nvSpPr>
      <xdr:spPr bwMode="auto">
        <a:xfrm>
          <a:off x="419100" y="5505450"/>
          <a:ext cx="657225" cy="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1009650</xdr:colOff>
      <xdr:row>31</xdr:row>
      <xdr:rowOff>9525</xdr:rowOff>
    </xdr:from>
    <xdr:to>
      <xdr:col>1</xdr:col>
      <xdr:colOff>38100</xdr:colOff>
      <xdr:row>31</xdr:row>
      <xdr:rowOff>161925</xdr:rowOff>
    </xdr:to>
    <xdr:sp macro="" textlink="">
      <xdr:nvSpPr>
        <xdr:cNvPr id="6689" name="Rectangle 15">
          <a:extLst>
            <a:ext uri="{FF2B5EF4-FFF2-40B4-BE49-F238E27FC236}">
              <a16:creationId xmlns:a16="http://schemas.microsoft.com/office/drawing/2014/main" id="{00000000-0008-0000-0700-0000211A0000}"/>
            </a:ext>
          </a:extLst>
        </xdr:cNvPr>
        <xdr:cNvSpPr>
          <a:spLocks noChangeArrowheads="1"/>
        </xdr:cNvSpPr>
      </xdr:nvSpPr>
      <xdr:spPr bwMode="auto">
        <a:xfrm>
          <a:off x="1009650" y="5343525"/>
          <a:ext cx="114300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933450</xdr:colOff>
      <xdr:row>19</xdr:row>
      <xdr:rowOff>161925</xdr:rowOff>
    </xdr:from>
    <xdr:to>
      <xdr:col>1</xdr:col>
      <xdr:colOff>1038225</xdr:colOff>
      <xdr:row>26</xdr:row>
      <xdr:rowOff>142875</xdr:rowOff>
    </xdr:to>
    <xdr:pic>
      <xdr:nvPicPr>
        <xdr:cNvPr id="6690" name="Picture 17">
          <a:extLst>
            <a:ext uri="{FF2B5EF4-FFF2-40B4-BE49-F238E27FC236}">
              <a16:creationId xmlns:a16="http://schemas.microsoft.com/office/drawing/2014/main" id="{00000000-0008-0000-0700-00002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533775"/>
          <a:ext cx="11906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161925</xdr:colOff>
      <xdr:row>8</xdr:row>
      <xdr:rowOff>85724</xdr:rowOff>
    </xdr:from>
    <xdr:to>
      <xdr:col>9</xdr:col>
      <xdr:colOff>880931</xdr:colOff>
      <xdr:row>11</xdr:row>
      <xdr:rowOff>42700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F81C9D3-D9A8-4E4A-9449-CB52B80A9A89}"/>
            </a:ext>
          </a:extLst>
        </xdr:cNvPr>
        <xdr:cNvSpPr txBox="1"/>
      </xdr:nvSpPr>
      <xdr:spPr>
        <a:xfrm rot="19882195">
          <a:off x="5876925" y="1657349"/>
          <a:ext cx="2814506" cy="452276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2400" b="1">
              <a:solidFill>
                <a:srgbClr val="FF0000"/>
              </a:solidFill>
            </a:rPr>
            <a:t>OBSOLETE PRODUCT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1"/>
  <sheetViews>
    <sheetView showGridLines="0" zoomScaleNormal="100" workbookViewId="0">
      <selection activeCell="D59" sqref="D59"/>
    </sheetView>
  </sheetViews>
  <sheetFormatPr defaultColWidth="8.85546875" defaultRowHeight="12.75" x14ac:dyDescent="0.2"/>
  <cols>
    <col min="1" max="2" width="14.28515625" customWidth="1"/>
    <col min="3" max="3" width="15.7109375" customWidth="1"/>
    <col min="4" max="4" width="16.42578125" customWidth="1"/>
    <col min="5" max="5" width="15.7109375" hidden="1" customWidth="1"/>
    <col min="6" max="6" width="15.7109375" customWidth="1"/>
    <col min="7" max="8" width="10.7109375" customWidth="1"/>
    <col min="9" max="9" width="10.7109375" hidden="1" customWidth="1"/>
    <col min="10" max="10" width="10.7109375" customWidth="1"/>
    <col min="11" max="11" width="20.42578125" bestFit="1" customWidth="1"/>
    <col min="15" max="16" width="20.28515625" bestFit="1" customWidth="1"/>
  </cols>
  <sheetData>
    <row r="1" spans="1:12" ht="21" thickTop="1" x14ac:dyDescent="0.3">
      <c r="A1" s="880" t="s">
        <v>65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5"/>
    </row>
    <row r="2" spans="1:12" ht="21" thickBot="1" x14ac:dyDescent="0.35">
      <c r="A2" s="889" t="s">
        <v>853</v>
      </c>
      <c r="B2" s="890"/>
      <c r="C2" s="890"/>
      <c r="D2" s="890"/>
      <c r="E2" s="890"/>
      <c r="F2" s="890"/>
      <c r="G2" s="890"/>
      <c r="H2" s="890"/>
      <c r="I2" s="890"/>
      <c r="J2" s="890"/>
      <c r="K2" s="891"/>
      <c r="L2" s="5"/>
    </row>
    <row r="3" spans="1:12" ht="13.5" thickTop="1" x14ac:dyDescent="0.2">
      <c r="A3" s="20"/>
      <c r="B3" s="50"/>
      <c r="C3" s="50"/>
      <c r="D3" s="21"/>
      <c r="E3" s="21"/>
      <c r="F3" s="21"/>
      <c r="G3" s="21"/>
      <c r="H3" s="21"/>
      <c r="I3" s="21"/>
      <c r="J3" s="21"/>
      <c r="K3" s="22"/>
    </row>
    <row r="4" spans="1:12" ht="13.5" thickBot="1" x14ac:dyDescent="0.25">
      <c r="A4" s="24"/>
      <c r="B4" s="19" t="s">
        <v>25</v>
      </c>
      <c r="D4" s="25"/>
      <c r="K4" s="23"/>
    </row>
    <row r="5" spans="1:12" hidden="1" x14ac:dyDescent="0.2">
      <c r="A5" s="32" t="s">
        <v>66</v>
      </c>
      <c r="B5" s="33">
        <v>20</v>
      </c>
      <c r="C5" s="26" t="s">
        <v>67</v>
      </c>
      <c r="K5" s="23"/>
    </row>
    <row r="6" spans="1:12" ht="13.5" thickBot="1" x14ac:dyDescent="0.25">
      <c r="A6" s="32" t="s">
        <v>68</v>
      </c>
      <c r="B6" s="441">
        <v>1200</v>
      </c>
      <c r="C6" s="26" t="s">
        <v>69</v>
      </c>
      <c r="D6" s="25"/>
      <c r="H6" s="25"/>
      <c r="K6" s="23"/>
    </row>
    <row r="7" spans="1:12" x14ac:dyDescent="0.2">
      <c r="A7" s="24"/>
      <c r="H7" s="25"/>
      <c r="K7" s="23"/>
    </row>
    <row r="8" spans="1:12" ht="13.5" thickBot="1" x14ac:dyDescent="0.25">
      <c r="A8" s="24"/>
      <c r="K8" s="23"/>
    </row>
    <row r="9" spans="1:12" ht="13.5" thickTop="1" x14ac:dyDescent="0.2">
      <c r="A9" s="886" t="s">
        <v>24</v>
      </c>
      <c r="B9" s="888" t="s">
        <v>60</v>
      </c>
      <c r="C9" s="888"/>
      <c r="D9" s="884" t="s">
        <v>70</v>
      </c>
      <c r="E9" s="884"/>
      <c r="F9" s="885"/>
      <c r="K9" s="23"/>
    </row>
    <row r="10" spans="1:12" x14ac:dyDescent="0.2">
      <c r="A10" s="887"/>
      <c r="B10" s="469" t="s">
        <v>55</v>
      </c>
      <c r="C10" s="469" t="s">
        <v>61</v>
      </c>
      <c r="D10" s="55" t="s">
        <v>62</v>
      </c>
      <c r="E10" s="56" t="s">
        <v>71</v>
      </c>
      <c r="F10" s="57" t="s">
        <v>72</v>
      </c>
      <c r="K10" s="23"/>
    </row>
    <row r="11" spans="1:12" x14ac:dyDescent="0.2">
      <c r="A11" s="470" t="s">
        <v>73</v>
      </c>
      <c r="B11" s="462" t="s">
        <v>74</v>
      </c>
      <c r="C11" s="462" t="s">
        <v>75</v>
      </c>
      <c r="D11" s="548" t="str">
        <f>IF(J39="UDEN FOR OMRÅDET","NOT POSSIBLE",IF(K39="UDEN FOR OMRÅDET","NOT POSSIBLE",(-1.416859E-16*B6^6+0.0000000000004973587*B6^5-0.0000000006302845*B6^4+0.0000003677696*B6^3-0.0001030106*B6^2+0.02421216*B6+0.4984559)))</f>
        <v>NOT POSSIBLE</v>
      </c>
      <c r="E11" s="549" t="e">
        <f>-0.0001914848*D11^5+0.0053285439*D11^4-0.054883786*D11^3+0.2534175671*D11^2-0.2481945056*D11+0.1333828468</f>
        <v>#VALUE!</v>
      </c>
      <c r="F11" s="550" t="str">
        <f>IF(J39="UDEN FOR OMRÅDET","NOT POSSIBLE",IF(B6&lt;50,8,(((($B$6/1000)/E11)^2)*100)))</f>
        <v>NOT POSSIBLE</v>
      </c>
      <c r="K11" s="23"/>
    </row>
    <row r="12" spans="1:12" x14ac:dyDescent="0.2">
      <c r="A12" s="447" t="s">
        <v>76</v>
      </c>
      <c r="B12" s="232" t="s">
        <v>77</v>
      </c>
      <c r="C12" s="232" t="s">
        <v>78</v>
      </c>
      <c r="D12" s="551" t="str">
        <f>IF(J40="UDEN FOR OMRÅDET","NOT POSSIBLE",IF(K40="UDEN FOR OMRÅDET","NOT POSSIBLE",(-8.370525E-18*B6^6+4.595217E-14*B6^5-0.00000000008196175*B6^4+0.00000006465865*B6^3-0.00002581107*B6^2+0.01404484*B6+0.4946178)))</f>
        <v>NOT POSSIBLE</v>
      </c>
      <c r="E12" s="549" t="e">
        <f>-0.0001313737*D12^5+0.0033025825*D12^4-0.030488192*D12^3+0.130530682*D12^2-0.0056293818*D12+0.0026799239</f>
        <v>#VALUE!</v>
      </c>
      <c r="F12" s="552" t="str">
        <f>IF(J40="UDEN FOR OMRÅDET","NOT POSSIBLE",IF(B6&lt;55,16,(((($B$6/1000)/E12)^2)*100)))</f>
        <v>NOT POSSIBLE</v>
      </c>
      <c r="K12" s="23"/>
    </row>
    <row r="13" spans="1:12" x14ac:dyDescent="0.2">
      <c r="A13" s="470" t="s">
        <v>79</v>
      </c>
      <c r="B13" s="462" t="s">
        <v>80</v>
      </c>
      <c r="C13" s="462" t="s">
        <v>81</v>
      </c>
      <c r="D13" s="551">
        <f>IF(J41="UDEN FOR OMRÅDET","NOT POSSIBLE",IF(K41="UDEN FOR OMRÅDET","NOT POSSIBLE",(1.282055E-17*B6^6-3.215346E-14*B6^5+0.00000000001758545*B6^4+0.00000001342106*B6^3-0.00001618215*B6^2+0.01146886*B6+0.6190952)))</f>
        <v>9.0100715840000039</v>
      </c>
      <c r="E13" s="549">
        <f>-0.0002922512*D13^5+0.0079441211*D13^4-0.081093891*D13^3+0.3716534766*D13^2-0.315676037*D13+0.1555909698</f>
        <v>3.1676981043788439</v>
      </c>
      <c r="F13" s="552">
        <f>IF(J41="UDEN FOR OMRÅDET","NOT POSSIBLE",IF(B6&lt;65,9,(((($B$6/1000)/E13)^2)*100)))</f>
        <v>14.350760702436096</v>
      </c>
      <c r="K13" s="23"/>
    </row>
    <row r="14" spans="1:12" x14ac:dyDescent="0.2">
      <c r="A14" s="447" t="s">
        <v>82</v>
      </c>
      <c r="B14" s="232" t="s">
        <v>83</v>
      </c>
      <c r="C14" s="232" t="s">
        <v>84</v>
      </c>
      <c r="D14" s="551">
        <f>IF(J42="UDEN FOR OMRÅDET","NOT POSSIBLE",IF(K42="UDEN FOR OMRÅDET","NOT POSSIBLE",(4.558531E-19*B6^6-2.754187E-16*B6^5-0.000000000004851288*B6^4+0.00000001154931*B6^3-0.0000104237*B6^2+0.008926086*B6+0.5092975)))</f>
        <v>6.783889786566399</v>
      </c>
      <c r="E14" s="549">
        <f>-0.0002702024*D14^5+0.0070152744*D14^4-0.0684282308*D14^3+0.303994227*D14^2-0.158105984*D14+0.1037020483</f>
        <v>2.6335665035817084</v>
      </c>
      <c r="F14" s="552">
        <f>IF(J42="UDEN FOR OMRÅDET","NOT POSSIBLE",IF(B6&lt;88,12,(((($B$6/1000)/E14)^2)*100)))</f>
        <v>20.762225927234258</v>
      </c>
      <c r="K14" s="23"/>
    </row>
    <row r="15" spans="1:12" x14ac:dyDescent="0.2">
      <c r="A15" s="470" t="s">
        <v>85</v>
      </c>
      <c r="B15" s="462" t="s">
        <v>86</v>
      </c>
      <c r="C15" s="462" t="s">
        <v>81</v>
      </c>
      <c r="D15" s="551">
        <f>IF(J43="UDEN FOR OMRÅDET","NOT POSSIBLE",IF(K43="UDEN FOR OMRÅDET","NOT POSSIBLE",(5.301715E-18*B6^6-2.338106E-14*B6^5+0.00000000003790071*B6^4-0.00000002608803*B6^3+0.00000547309*B6^2+0.005587611*B6+0.6916941)))</f>
        <v>6.4401502593600091</v>
      </c>
      <c r="E15" s="549">
        <f>-0.0001250173*D15^5+0.0038019997*D15^4-0.0461407467*D15^3+0.2422158614*D15^2+0.0516844959*D15-0.0473246139</f>
        <v>3.1622448508485328</v>
      </c>
      <c r="F15" s="552">
        <f>IF(J43="UDEN FOR OMRÅDET","NOT POSSIBLE",IF(B6&lt;72,9,(((($B$6/1000)/E15)^2)*100)))</f>
        <v>14.400298810926419</v>
      </c>
      <c r="K15" s="23"/>
    </row>
    <row r="16" spans="1:12" x14ac:dyDescent="0.2">
      <c r="A16" s="447" t="s">
        <v>87</v>
      </c>
      <c r="B16" s="232" t="s">
        <v>88</v>
      </c>
      <c r="C16" s="232" t="s">
        <v>84</v>
      </c>
      <c r="D16" s="551">
        <f>IF(J44="UDEN FOR OMRÅDET","NOT POSSIBLE",IF(K44="UDEN FOR OMRÅDET","NOT POSSIBLE",(5.707474E-19*B6^6-3.439083E-15*B6^5+0.000000000007387863*B6^4-0.000000006100564*B6^3+0.0000003601231*B6^2+0.004834756*B6+0.6250701)))</f>
        <v>4.8697562826815997</v>
      </c>
      <c r="E16" s="549">
        <f>-0.0001720525*D16^5+0.0050695668*D16^4-0.0602406174*D16^3+0.3152398884*D16^2-0.0451710556*D16+0.0404546674</f>
        <v>2.7192475236579186</v>
      </c>
      <c r="F16" s="552">
        <f>IF(J44="UDEN FOR OMRÅDET","NOT POSSIBLE",IF(B6&lt;120,12,(((($B$6/1000)/E16)^2)*100)))</f>
        <v>19.474441371110427</v>
      </c>
      <c r="K16" s="23"/>
    </row>
    <row r="17" spans="1:11" x14ac:dyDescent="0.2">
      <c r="A17" s="470" t="s">
        <v>89</v>
      </c>
      <c r="B17" s="462" t="s">
        <v>90</v>
      </c>
      <c r="C17" s="462" t="s">
        <v>91</v>
      </c>
      <c r="D17" s="551">
        <f>IF(J45="UDEN FOR OMRÅDET","NOT POSSIBLE",IF(K45="UDEN FOR OMRÅDET","NOT POSSIBLE",(9.688725E-21*B6^6-1.260236E-16*B6^5+0.0000000000006151922*B6^4-0.000000001374114*B6^3+0.000001309833*B6^2+0.001458119*B6+0.6703696)))</f>
        <v>2.9228088073984004</v>
      </c>
      <c r="E17" s="549">
        <f xml:space="preserve"> -0.0002207819*D17^5+0.0048575488*D17^4-0.042801013*D17^3+0.1612668541*D17^2+0.9429656517*D17-0.4890993807</f>
        <v>2.8833906658725916</v>
      </c>
      <c r="F17" s="552">
        <f>IF(J45="UDEN FOR OMRÅDET","NOT POSSIBLE",IF(B6&lt;300,14,(((($B$6/1000)/E17)^2)*100)))</f>
        <v>17.320304212024592</v>
      </c>
      <c r="K17" s="23"/>
    </row>
    <row r="18" spans="1:11" x14ac:dyDescent="0.2">
      <c r="A18" s="447" t="s">
        <v>92</v>
      </c>
      <c r="B18" s="232" t="s">
        <v>93</v>
      </c>
      <c r="C18" s="232" t="s">
        <v>94</v>
      </c>
      <c r="D18" s="551">
        <f>IF(J46="UDEN FOR OMRÅDET","NOT POSSIBLE",IF(K46="UDEN FOR OMRÅDET","NOT POSSIBLE",(2.890134E-22*B6^6-4.367951E-18*B6^5+1.580866E-14*B6^4+0.0000000000465504*B6^3-0.0000003855707*B6^2+0.001792376*B6+0.7499365)))</f>
        <v>2.4487799501318657</v>
      </c>
      <c r="E18" s="549">
        <f>-0.0012675993*D18^5+0.0341544632*D18^4-0.344969967*D18^3+1.5414329114*D18^2-1.1127621642*D18+0.3349824205</f>
        <v>2.9042338152531664</v>
      </c>
      <c r="F18" s="552">
        <f>IF(J46="UDEN FOR OMRÅDET","NOT POSSIBLE",IF(B6&lt;275,15,(((($B$6/1000)/E18)^2)*100)))</f>
        <v>17.072587078361707</v>
      </c>
      <c r="K18" s="23"/>
    </row>
    <row r="19" spans="1:11" ht="13.5" thickBot="1" x14ac:dyDescent="0.25">
      <c r="A19" s="471" t="s">
        <v>95</v>
      </c>
      <c r="B19" s="466" t="s">
        <v>96</v>
      </c>
      <c r="C19" s="466" t="s">
        <v>97</v>
      </c>
      <c r="D19" s="553">
        <f>IF(J47="UDEN FOR OMRÅDET","NOT POSSIBLE",IF(K47="UDEN FOR OMRÅDET","NOT POSSIBLE",(9.139688E-23*B6^6-2.57758E-18*B6^5+2.726717E-14*B6^4-0.0000000001313964*B6^3+0.0000002746298*B6^2+0.0006078528*B6+0.721324)))</f>
        <v>1.66956156226773</v>
      </c>
      <c r="E19" s="554">
        <f>-0.000196373*D19^5+0.0050851175*D19^4-0.0540651414*D19^3+0.1694730368*D19^2+2.4082032907*D19-1.4693911114</f>
        <v>2.8090025831667411</v>
      </c>
      <c r="F19" s="555">
        <f>IF(J47="UDEN FOR OMRÅDET","NOT POSSIBLE",IF(B6&lt;670,17,(((($B$6/1000)/E19)^2)*100)))</f>
        <v>18.249804435813871</v>
      </c>
      <c r="K19" s="23"/>
    </row>
    <row r="20" spans="1:11" ht="13.5" thickTop="1" x14ac:dyDescent="0.2">
      <c r="A20" s="24"/>
      <c r="E20" s="27"/>
      <c r="K20" s="23"/>
    </row>
    <row r="21" spans="1:11" x14ac:dyDescent="0.2">
      <c r="A21" s="24"/>
      <c r="E21" s="25"/>
      <c r="F21" s="25"/>
      <c r="K21" s="23"/>
    </row>
    <row r="22" spans="1:11" x14ac:dyDescent="0.2">
      <c r="A22" s="24"/>
      <c r="E22" s="19"/>
      <c r="K22" s="23"/>
    </row>
    <row r="23" spans="1:11" x14ac:dyDescent="0.2">
      <c r="A23" s="24"/>
      <c r="E23" s="58"/>
      <c r="K23" s="23"/>
    </row>
    <row r="24" spans="1:11" x14ac:dyDescent="0.2">
      <c r="A24" s="24"/>
      <c r="E24" s="58"/>
      <c r="K24" s="23"/>
    </row>
    <row r="25" spans="1:11" x14ac:dyDescent="0.2">
      <c r="A25" s="24"/>
      <c r="E25" s="58"/>
      <c r="K25" s="23"/>
    </row>
    <row r="26" spans="1:11" x14ac:dyDescent="0.2">
      <c r="A26" s="24"/>
      <c r="E26" s="58"/>
      <c r="K26" s="23"/>
    </row>
    <row r="27" spans="1:11" x14ac:dyDescent="0.2">
      <c r="A27" s="24"/>
      <c r="E27" s="58"/>
      <c r="K27" s="23"/>
    </row>
    <row r="28" spans="1:11" x14ac:dyDescent="0.2">
      <c r="A28" s="24"/>
      <c r="E28" s="58"/>
      <c r="K28" s="23"/>
    </row>
    <row r="29" spans="1:11" x14ac:dyDescent="0.2">
      <c r="A29" s="24"/>
      <c r="E29" s="58"/>
      <c r="K29" s="23"/>
    </row>
    <row r="30" spans="1:11" x14ac:dyDescent="0.2">
      <c r="A30" s="24"/>
      <c r="E30" s="58"/>
      <c r="K30" s="23"/>
    </row>
    <row r="31" spans="1:11" x14ac:dyDescent="0.2">
      <c r="A31" s="24"/>
      <c r="E31" s="58"/>
      <c r="K31" s="23"/>
    </row>
    <row r="32" spans="1:11" x14ac:dyDescent="0.2">
      <c r="A32" s="24"/>
      <c r="F32" s="28"/>
      <c r="K32" s="23"/>
    </row>
    <row r="33" spans="1:12" ht="13.5" thickBot="1" x14ac:dyDescent="0.25">
      <c r="A33" s="29" t="s">
        <v>64</v>
      </c>
      <c r="B33" s="30"/>
      <c r="C33" s="30"/>
      <c r="D33" s="30"/>
      <c r="E33" s="30"/>
      <c r="F33" s="30"/>
      <c r="G33" s="30"/>
      <c r="H33" s="30"/>
      <c r="I33" s="30"/>
      <c r="J33" s="30"/>
      <c r="K33" s="31"/>
    </row>
    <row r="34" spans="1:12" ht="10.5" customHeight="1" thickTop="1" x14ac:dyDescent="0.2"/>
    <row r="36" spans="1:12" s="4" customFormat="1" ht="31.5" hidden="1" customHeight="1" x14ac:dyDescent="0.4">
      <c r="A36" s="882" t="s">
        <v>11</v>
      </c>
      <c r="B36" s="882"/>
      <c r="C36" s="882"/>
      <c r="D36" s="883"/>
      <c r="E36" s="883"/>
      <c r="F36" s="883"/>
      <c r="G36" s="883"/>
      <c r="H36" s="883"/>
      <c r="I36" s="883"/>
      <c r="J36" s="883"/>
      <c r="K36" s="883"/>
      <c r="L36" s="6"/>
    </row>
    <row r="37" spans="1:12" ht="13.5" hidden="1" thickBot="1" x14ac:dyDescent="0.25"/>
    <row r="38" spans="1:12" ht="13.5" hidden="1" thickTop="1" x14ac:dyDescent="0.2">
      <c r="A38" s="9" t="s">
        <v>0</v>
      </c>
      <c r="B38" s="52"/>
      <c r="C38" s="52"/>
      <c r="D38" s="10" t="s">
        <v>1</v>
      </c>
      <c r="E38" s="10" t="s">
        <v>2</v>
      </c>
      <c r="F38" s="10" t="s">
        <v>3</v>
      </c>
      <c r="G38" s="10" t="s">
        <v>8</v>
      </c>
      <c r="H38" s="10" t="s">
        <v>4</v>
      </c>
      <c r="I38" s="10" t="s">
        <v>5</v>
      </c>
      <c r="J38" s="11" t="s">
        <v>6</v>
      </c>
      <c r="K38" s="12" t="s">
        <v>7</v>
      </c>
    </row>
    <row r="39" spans="1:12" hidden="1" x14ac:dyDescent="0.2">
      <c r="A39" s="13" t="s">
        <v>73</v>
      </c>
      <c r="B39" s="53"/>
      <c r="C39" s="53"/>
      <c r="D39" s="7"/>
      <c r="E39" s="59"/>
      <c r="F39" s="60"/>
      <c r="G39" s="61">
        <v>2.2000000000000002</v>
      </c>
      <c r="H39" s="38">
        <v>25</v>
      </c>
      <c r="I39" s="1">
        <v>804</v>
      </c>
      <c r="J39" s="2" t="str">
        <f t="shared" ref="J39:J47" si="0">IF($B$6&lt;=H39-1,"UDEN FOR OMRÅDET",IF($B$6&gt;=I39+1,"UDEN FOR OMRÅDET",$B$6))</f>
        <v>UDEN FOR OMRÅDET</v>
      </c>
      <c r="K39" s="14">
        <f>IF($B$5&lt;=7,"UDEN FOR OMRÅDET",IF($B$5&gt;=401,"UDEN FOR OMRÅDET",$B$5))</f>
        <v>20</v>
      </c>
    </row>
    <row r="40" spans="1:12" hidden="1" x14ac:dyDescent="0.2">
      <c r="A40" s="13" t="s">
        <v>76</v>
      </c>
      <c r="B40" s="53"/>
      <c r="C40" s="53"/>
      <c r="D40" s="7"/>
      <c r="E40" s="59"/>
      <c r="F40" s="60"/>
      <c r="G40" s="61">
        <v>2.4</v>
      </c>
      <c r="H40" s="38">
        <v>40</v>
      </c>
      <c r="I40" s="1">
        <v>1100</v>
      </c>
      <c r="J40" s="2" t="str">
        <f t="shared" si="0"/>
        <v>UDEN FOR OMRÅDET</v>
      </c>
      <c r="K40" s="14">
        <f>IF($B$5&lt;=15,"UDEN FOR OMRÅDET",IF($B$5&gt;=401,"UDEN FOR OMRÅDET",$B$5))</f>
        <v>20</v>
      </c>
    </row>
    <row r="41" spans="1:12" hidden="1" x14ac:dyDescent="0.2">
      <c r="A41" s="13" t="s">
        <v>79</v>
      </c>
      <c r="B41" s="53"/>
      <c r="C41" s="53"/>
      <c r="D41" s="7"/>
      <c r="E41" s="59"/>
      <c r="F41" s="60"/>
      <c r="G41" s="61">
        <v>3.3</v>
      </c>
      <c r="H41" s="38">
        <v>41</v>
      </c>
      <c r="I41" s="1">
        <v>1265</v>
      </c>
      <c r="J41" s="2">
        <f t="shared" si="0"/>
        <v>1200</v>
      </c>
      <c r="K41" s="14">
        <f>IF($B$5&lt;=8,"UDEN FOR OMRÅDET",IF($B$5&gt;=401,"UDEN FOR OMRÅDET",$B$5))</f>
        <v>20</v>
      </c>
    </row>
    <row r="42" spans="1:12" hidden="1" x14ac:dyDescent="0.2">
      <c r="A42" s="13" t="s">
        <v>82</v>
      </c>
      <c r="B42" s="53"/>
      <c r="C42" s="53"/>
      <c r="D42" s="7"/>
      <c r="E42" s="59"/>
      <c r="F42" s="60"/>
      <c r="G42" s="61">
        <v>3.6</v>
      </c>
      <c r="H42" s="38">
        <v>66</v>
      </c>
      <c r="I42" s="1">
        <v>1850</v>
      </c>
      <c r="J42" s="2">
        <f t="shared" si="0"/>
        <v>1200</v>
      </c>
      <c r="K42" s="14">
        <f>IF($B$5&lt;=11,"UDEN FOR OMRÅDET",IF($B$5&gt;=401,"UDEN FOR OMRÅDET",$B$5))</f>
        <v>20</v>
      </c>
    </row>
    <row r="43" spans="1:12" hidden="1" x14ac:dyDescent="0.2">
      <c r="A43" s="13" t="s">
        <v>85</v>
      </c>
      <c r="B43" s="53"/>
      <c r="C43" s="53"/>
      <c r="D43" s="7"/>
      <c r="E43" s="59"/>
      <c r="F43" s="60"/>
      <c r="G43" s="61">
        <v>4.0999999999999996</v>
      </c>
      <c r="H43" s="38">
        <v>61</v>
      </c>
      <c r="I43" s="1">
        <v>1663</v>
      </c>
      <c r="J43" s="2">
        <f t="shared" si="0"/>
        <v>1200</v>
      </c>
      <c r="K43" s="14">
        <f>IF($B$5&lt;=8,"UDEN FOR OMRÅDET",IF($B$5&gt;=401,"UDEN FOR OMRÅDET",$B$5))</f>
        <v>20</v>
      </c>
    </row>
    <row r="44" spans="1:12" hidden="1" x14ac:dyDescent="0.2">
      <c r="A44" s="13" t="s">
        <v>87</v>
      </c>
      <c r="B44" s="53"/>
      <c r="C44" s="53"/>
      <c r="D44" s="7"/>
      <c r="E44" s="59"/>
      <c r="F44" s="60"/>
      <c r="G44" s="61">
        <v>4.4000000000000004</v>
      </c>
      <c r="H44" s="38">
        <v>89</v>
      </c>
      <c r="I44" s="1">
        <v>2350</v>
      </c>
      <c r="J44" s="2">
        <f t="shared" si="0"/>
        <v>1200</v>
      </c>
      <c r="K44" s="14">
        <f>IF($B$5&lt;=11,"UDEN FOR OMRÅDET",IF($B$5&gt;=401,"UDEN FOR OMRÅDET",$B$5))</f>
        <v>20</v>
      </c>
    </row>
    <row r="45" spans="1:12" hidden="1" x14ac:dyDescent="0.2">
      <c r="A45" s="13" t="s">
        <v>89</v>
      </c>
      <c r="B45" s="53"/>
      <c r="C45" s="53"/>
      <c r="D45" s="7"/>
      <c r="E45" s="59"/>
      <c r="F45" s="60"/>
      <c r="G45" s="61">
        <v>8.8000000000000007</v>
      </c>
      <c r="H45" s="38">
        <v>217</v>
      </c>
      <c r="I45" s="1">
        <v>4800</v>
      </c>
      <c r="J45" s="2">
        <f t="shared" si="0"/>
        <v>1200</v>
      </c>
      <c r="K45" s="14">
        <f>IF($B$5&lt;=13,"UDEN FOR OMRÅDET",IF($B$5&gt;=401,"UDEN FOR OMRÅDET",$B$5))</f>
        <v>20</v>
      </c>
    </row>
    <row r="46" spans="1:12" hidden="1" x14ac:dyDescent="0.2">
      <c r="A46" s="13" t="s">
        <v>92</v>
      </c>
      <c r="B46" s="53"/>
      <c r="C46" s="53"/>
      <c r="D46" s="7"/>
      <c r="E46" s="62"/>
      <c r="F46" s="63"/>
      <c r="G46" s="64">
        <v>13.2</v>
      </c>
      <c r="H46" s="2">
        <v>175</v>
      </c>
      <c r="I46" s="2">
        <v>7450</v>
      </c>
      <c r="J46" s="2">
        <f t="shared" si="0"/>
        <v>1200</v>
      </c>
      <c r="K46" s="14">
        <f>IF($B$5&lt;=14,"UDEN FOR OMRÅDET",IF($B$5&gt;=401,"UDEN FOR OMRÅDET",$B$5))</f>
        <v>20</v>
      </c>
    </row>
    <row r="47" spans="1:12" ht="13.5" hidden="1" thickBot="1" x14ac:dyDescent="0.25">
      <c r="A47" s="15" t="s">
        <v>95</v>
      </c>
      <c r="B47" s="54"/>
      <c r="C47" s="54"/>
      <c r="D47" s="39"/>
      <c r="E47" s="65"/>
      <c r="F47" s="66"/>
      <c r="G47" s="67">
        <v>16.7</v>
      </c>
      <c r="H47" s="17">
        <v>440</v>
      </c>
      <c r="I47" s="17">
        <v>10350</v>
      </c>
      <c r="J47" s="17">
        <f t="shared" si="0"/>
        <v>1200</v>
      </c>
      <c r="K47" s="18">
        <f>IF($B$5&lt;=16,"UDEN FOR OMRÅDET",IF($B$5&gt;=401,"UDEN FOR OMRÅDET",$B$5))</f>
        <v>20</v>
      </c>
    </row>
    <row r="48" spans="1:12" x14ac:dyDescent="0.2">
      <c r="A48" s="8"/>
      <c r="B48" s="8"/>
      <c r="C48" s="8"/>
    </row>
    <row r="51" spans="5:5" x14ac:dyDescent="0.2">
      <c r="E51" s="27"/>
    </row>
  </sheetData>
  <sheetProtection sheet="1" objects="1" scenarios="1"/>
  <mergeCells count="6">
    <mergeCell ref="A1:K1"/>
    <mergeCell ref="A36:K36"/>
    <mergeCell ref="D9:F9"/>
    <mergeCell ref="A9:A10"/>
    <mergeCell ref="B9:C9"/>
    <mergeCell ref="A2:K2"/>
  </mergeCells>
  <phoneticPr fontId="0" type="noConversion"/>
  <pageMargins left="0.59055118110236227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62"/>
  <sheetViews>
    <sheetView showGridLines="0" zoomScaleNormal="100" workbookViewId="0">
      <selection activeCell="J58" sqref="J58"/>
    </sheetView>
  </sheetViews>
  <sheetFormatPr defaultRowHeight="12.75" x14ac:dyDescent="0.2"/>
  <cols>
    <col min="1" max="1" width="16.28515625" customWidth="1"/>
    <col min="2" max="2" width="16.7109375" customWidth="1"/>
    <col min="3" max="3" width="15.7109375" customWidth="1"/>
    <col min="4" max="4" width="16.7109375" customWidth="1"/>
    <col min="5" max="6" width="16.7109375" hidden="1" customWidth="1"/>
    <col min="7" max="7" width="20.7109375" customWidth="1"/>
    <col min="8" max="9" width="20.5703125" bestFit="1" customWidth="1"/>
    <col min="10" max="10" width="15.28515625" bestFit="1" customWidth="1"/>
    <col min="11" max="11" width="9.140625" customWidth="1"/>
    <col min="12" max="12" width="14.42578125" hidden="1" customWidth="1"/>
    <col min="13" max="13" width="16" hidden="1" customWidth="1"/>
    <col min="14" max="15" width="20.28515625" hidden="1" customWidth="1"/>
    <col min="16" max="16" width="9.140625" hidden="1" customWidth="1"/>
    <col min="17" max="17" width="18.28515625" hidden="1" customWidth="1"/>
    <col min="18" max="18" width="16.140625" hidden="1" customWidth="1"/>
    <col min="19" max="19" width="20.5703125" customWidth="1"/>
    <col min="20" max="20" width="16.140625" customWidth="1"/>
    <col min="21" max="21" width="9.140625" customWidth="1"/>
  </cols>
  <sheetData>
    <row r="1" spans="1:18" ht="21" thickTop="1" x14ac:dyDescent="0.3">
      <c r="A1" s="880" t="s">
        <v>856</v>
      </c>
      <c r="B1" s="881"/>
      <c r="C1" s="881"/>
      <c r="D1" s="881"/>
      <c r="E1" s="881"/>
      <c r="F1" s="881"/>
      <c r="G1" s="881"/>
      <c r="H1" s="881"/>
      <c r="I1" s="881"/>
      <c r="J1" s="892"/>
      <c r="K1" s="5"/>
      <c r="L1" s="880" t="s">
        <v>65</v>
      </c>
      <c r="M1" s="881"/>
      <c r="N1" s="881"/>
      <c r="O1" s="881"/>
      <c r="P1" s="881"/>
      <c r="Q1" s="881"/>
      <c r="R1" s="892"/>
    </row>
    <row r="2" spans="1:18" ht="21" thickBot="1" x14ac:dyDescent="0.35">
      <c r="A2" s="889" t="s">
        <v>857</v>
      </c>
      <c r="B2" s="890"/>
      <c r="C2" s="890"/>
      <c r="D2" s="890"/>
      <c r="E2" s="890"/>
      <c r="F2" s="890"/>
      <c r="G2" s="890"/>
      <c r="H2" s="890"/>
      <c r="I2" s="890"/>
      <c r="J2" s="891"/>
      <c r="K2" s="5"/>
      <c r="L2" s="889" t="s">
        <v>116</v>
      </c>
      <c r="M2" s="890"/>
      <c r="N2" s="890"/>
      <c r="O2" s="890"/>
      <c r="P2" s="890"/>
      <c r="Q2" s="890"/>
      <c r="R2" s="891"/>
    </row>
    <row r="3" spans="1:18" ht="13.5" thickTop="1" x14ac:dyDescent="0.2">
      <c r="A3" s="20"/>
      <c r="B3" s="21"/>
      <c r="C3" s="21"/>
      <c r="D3" s="21"/>
      <c r="E3" s="21"/>
      <c r="F3" s="21"/>
      <c r="G3" s="21"/>
      <c r="H3" s="21"/>
      <c r="I3" s="21"/>
      <c r="J3" s="22"/>
      <c r="L3" s="20"/>
      <c r="M3" s="21"/>
      <c r="N3" s="21"/>
      <c r="O3" s="21"/>
      <c r="P3" s="21"/>
      <c r="Q3" s="21"/>
      <c r="R3" s="22"/>
    </row>
    <row r="4" spans="1:18" x14ac:dyDescent="0.2">
      <c r="A4" s="24"/>
      <c r="B4" s="19" t="s">
        <v>25</v>
      </c>
      <c r="D4" s="25"/>
      <c r="J4" s="23"/>
      <c r="L4" s="24"/>
      <c r="M4" s="19" t="s">
        <v>10</v>
      </c>
      <c r="O4" s="25"/>
      <c r="R4" s="23"/>
    </row>
    <row r="5" spans="1:18" x14ac:dyDescent="0.2">
      <c r="A5" s="32" t="s">
        <v>30</v>
      </c>
      <c r="B5" s="33">
        <v>30</v>
      </c>
      <c r="C5" s="26" t="s">
        <v>619</v>
      </c>
      <c r="J5" s="23"/>
      <c r="L5" s="32" t="s">
        <v>66</v>
      </c>
      <c r="M5" s="33">
        <v>20</v>
      </c>
      <c r="N5" s="26" t="s">
        <v>67</v>
      </c>
      <c r="R5" s="23"/>
    </row>
    <row r="6" spans="1:18" x14ac:dyDescent="0.2">
      <c r="A6" s="32" t="s">
        <v>117</v>
      </c>
      <c r="B6" s="33">
        <v>1300</v>
      </c>
      <c r="C6" s="26" t="s">
        <v>620</v>
      </c>
      <c r="F6" s="25"/>
      <c r="J6" s="23"/>
      <c r="L6" s="32" t="s">
        <v>9</v>
      </c>
      <c r="M6" s="33">
        <v>25</v>
      </c>
      <c r="N6" s="26" t="s">
        <v>119</v>
      </c>
      <c r="O6" s="25" t="s">
        <v>120</v>
      </c>
      <c r="R6" s="23"/>
    </row>
    <row r="7" spans="1:18" ht="13.5" thickBot="1" x14ac:dyDescent="0.25">
      <c r="A7" s="24"/>
      <c r="F7" s="25"/>
      <c r="J7" s="23"/>
      <c r="L7" s="24"/>
      <c r="R7" s="23"/>
    </row>
    <row r="8" spans="1:18" ht="14.25" thickTop="1" thickBot="1" x14ac:dyDescent="0.25">
      <c r="A8" s="926" t="s">
        <v>610</v>
      </c>
      <c r="B8" s="927"/>
      <c r="C8" s="928" t="s">
        <v>612</v>
      </c>
      <c r="D8" s="929"/>
      <c r="E8" s="72"/>
      <c r="F8" s="104"/>
      <c r="G8" s="105" t="s">
        <v>597</v>
      </c>
      <c r="H8" s="19"/>
      <c r="J8" s="23"/>
      <c r="L8" s="24"/>
      <c r="R8" s="23"/>
    </row>
    <row r="9" spans="1:18" ht="13.5" thickTop="1" x14ac:dyDescent="0.2">
      <c r="A9" s="916" t="s">
        <v>611</v>
      </c>
      <c r="B9" s="917"/>
      <c r="C9" s="913" t="s">
        <v>613</v>
      </c>
      <c r="D9" s="914"/>
      <c r="E9" s="914"/>
      <c r="F9" s="915"/>
      <c r="G9" s="106" t="s">
        <v>614</v>
      </c>
      <c r="H9" s="19"/>
      <c r="J9" s="23"/>
      <c r="R9" s="23"/>
    </row>
    <row r="10" spans="1:18" x14ac:dyDescent="0.2">
      <c r="A10" s="73" t="s">
        <v>24</v>
      </c>
      <c r="B10" s="527" t="s">
        <v>26</v>
      </c>
      <c r="C10" s="107" t="s">
        <v>24</v>
      </c>
      <c r="D10" s="74" t="s">
        <v>62</v>
      </c>
      <c r="E10" s="74"/>
      <c r="F10" s="108" t="s">
        <v>72</v>
      </c>
      <c r="G10" s="109" t="s">
        <v>29</v>
      </c>
      <c r="H10" s="19"/>
      <c r="J10" s="23"/>
      <c r="R10" s="23"/>
    </row>
    <row r="11" spans="1:18" x14ac:dyDescent="0.2">
      <c r="A11" s="73" t="s">
        <v>12</v>
      </c>
      <c r="B11" s="567" t="str">
        <f>IF(I48="UDEN FOR OMRÅDET","NOT POSSIBLE",IF(J48="UDEN FOR OMRÅDET","NOT POSSIBLE",(-0.2+(($B$5-C48)*E48)+($B$6/D48))))</f>
        <v>NOT POSSIBLE</v>
      </c>
      <c r="C11" s="110" t="s">
        <v>583</v>
      </c>
      <c r="D11" s="549" t="str">
        <f>IF(S48="UDEN FOR OMRÅDET","NOT POSSIBLE",IF(T48="UDEN FOR OMRÅDET","NOT POSSIBLE",(0.000000000005542*B6^4-0.000000011024963*B6^3+0.000008062366517*B6^2+0.001574675994768*B6+0.437597137192088)))</f>
        <v>NOT POSSIBLE</v>
      </c>
      <c r="E11" s="35"/>
      <c r="F11" s="111" t="e">
        <f>ROUND(IF(D11&lt;0.5,10,((((0.1322*D11^2+0.2648*D11+9.8241))))),1)</f>
        <v>#VALUE!</v>
      </c>
      <c r="G11" s="570" t="str">
        <f t="shared" ref="G11:G19" si="0">IF(B11="NOT POSSIBLE","NOT POSSIBLE",IF(D11="NOT POSSIBLE","NOT POSSIBLE",($B$5+F21+F11)))</f>
        <v>NOT POSSIBLE</v>
      </c>
      <c r="H11" s="58"/>
      <c r="J11" s="23"/>
      <c r="R11" s="23"/>
    </row>
    <row r="12" spans="1:18" x14ac:dyDescent="0.2">
      <c r="A12" s="73" t="s">
        <v>13</v>
      </c>
      <c r="B12" s="567" t="str">
        <f>IF(I49="UDEN FOR OMRÅDET","NOT POSSIBLE",IF(J49="UDEN FOR OMRÅDET","NOT POSSIBLE",(-0.3+(($B$5-C49)*E49)+($B$6/D49))))</f>
        <v>NOT POSSIBLE</v>
      </c>
      <c r="C12" s="110" t="s">
        <v>584</v>
      </c>
      <c r="D12" s="549" t="str">
        <f>IF(S49="UDEN FOR OMRÅDET","NOT POSSIBLE",IF(T49="UDEN FOR OMRÅDET","NOT POSSIBLE",(ROUND(0.000000000004935*B6^4-0.000000011338095*B6^3+0.000009011774864*B6^2+0.000523712911518*B6+0.458015907559471,1))))</f>
        <v>NOT POSSIBLE</v>
      </c>
      <c r="E12" s="35"/>
      <c r="F12" s="111" t="e">
        <f>ROUND(IF(D12&lt;1,14,((((0.2956*D12^2-0.4757*D12+14.17))))),1)</f>
        <v>#VALUE!</v>
      </c>
      <c r="G12" s="570" t="str">
        <f t="shared" si="0"/>
        <v>NOT POSSIBLE</v>
      </c>
      <c r="H12" s="58"/>
      <c r="J12" s="23"/>
      <c r="R12" s="23"/>
    </row>
    <row r="13" spans="1:18" x14ac:dyDescent="0.2">
      <c r="A13" s="73" t="s">
        <v>21</v>
      </c>
      <c r="B13" s="567" t="str">
        <f>IF(I50="UDEN FOR OMRÅDET","NOT POSSIBLE",IF(J50="UDEN FOR OMRÅDET","NOT POSSIBLE",(-0.2+(($B$5-C50)*E50)+($B$6/D50))))</f>
        <v>NOT POSSIBLE</v>
      </c>
      <c r="C13" s="110" t="s">
        <v>585</v>
      </c>
      <c r="D13" s="549">
        <f>IF(S50="UDEN FOR OMRÅDET","NOT POSSIBLE",IF(T50="UDEN FOR OMRÅDET","NOT POSSIBLE",IF(B6&lt;1465,(1.43958726E-12*B6^4-4.05602367413E-09*B6^3+0.0000042670132068909*B6^2-0.000061224426617176*B6+0.509465618579983),(2.758949268903E-08*B6^4-0.000165382498714462*B6^3+0.371749749406838*B6^2-371.370189738866*B6+139116.043827614))))</f>
        <v>2.8416473448456645</v>
      </c>
      <c r="E13" s="35"/>
      <c r="F13" s="111">
        <f>ROUND(IF(D13&lt;2,9,((((0.5565*D13^2-0.7865*D13+9.2446))))),1)</f>
        <v>11.5</v>
      </c>
      <c r="G13" s="570" t="str">
        <f t="shared" si="0"/>
        <v>NOT POSSIBLE</v>
      </c>
      <c r="H13" s="58"/>
      <c r="J13" s="23"/>
      <c r="R13" s="23"/>
    </row>
    <row r="14" spans="1:18" x14ac:dyDescent="0.2">
      <c r="A14" s="73" t="s">
        <v>22</v>
      </c>
      <c r="B14" s="567">
        <f>IF(I51="UDEN FOR OMRÅDET","NOT POSSIBLE",IF(J51="UDEN FOR OMRÅDET","NOT POSSIBLE",(-0.3+(($B$5-C51)*E51)+($B$6/D51))))</f>
        <v>7.8733546325878603</v>
      </c>
      <c r="C14" s="110" t="s">
        <v>586</v>
      </c>
      <c r="D14" s="549">
        <f>IF(S51="UDEN FOR OMRÅDET","NOT POSSIBLE",IF(T51="UDEN FOR OMRÅDET","NOT POSSIBLE",(ROUND(2.8068E-16*B6^5-1.30894961E-12*B6^4+2.26233522011E-09*B6^3-1.24113081172312E-06*B6^2+0.00135922155812669*B6+0.36672369992407,1))))</f>
        <v>2.2999999999999998</v>
      </c>
      <c r="E14" s="35"/>
      <c r="F14" s="111">
        <f>ROUND(IF(D14&lt;2,16,((((1.3*D14^2-3.3*D14+17.4))))),1)</f>
        <v>16.7</v>
      </c>
      <c r="G14" s="570">
        <f t="shared" si="0"/>
        <v>60.495918367346945</v>
      </c>
      <c r="H14" s="58"/>
      <c r="J14" s="23"/>
      <c r="R14" s="23"/>
    </row>
    <row r="15" spans="1:18" x14ac:dyDescent="0.2">
      <c r="A15" s="73" t="s">
        <v>16</v>
      </c>
      <c r="B15" s="567">
        <f>IF(I52="UDEN FOR OMRÅDET","NOT POSSIBLE",IF(J52="UDEN FOR OMRÅDET","NOT POSSIBLE",(-1.9+(($B$5-C52)*E52)+($B$6/D52))))</f>
        <v>17.443545878693623</v>
      </c>
      <c r="C15" s="110" t="s">
        <v>594</v>
      </c>
      <c r="D15" s="549">
        <f>IF(S52="UDEN FOR OMRÅDET","NOT POSSIBLE",IF(T52="UDEN FOR OMRÅDET","NOT POSSIBLE",(ROUND(1.6084E-16*B6^5-7.8792682E-13*B6^4+1.22444138078E-09*B6^3-5.1797692941027E-07*B6^2+0.00125732825340572*B6+0.327414644949624,1)
)))</f>
        <v>2.1</v>
      </c>
      <c r="E15" s="35"/>
      <c r="F15" s="111">
        <f>ROUND(IF(D15&lt;1,14,((((-0.2957*D15^4+2.7972*D15^3-6.6079*D15^2+5.804*D15+12.383))))),1)</f>
        <v>15.6</v>
      </c>
      <c r="G15" s="570">
        <f t="shared" si="0"/>
        <v>56.162500000000001</v>
      </c>
      <c r="H15" s="58"/>
      <c r="J15" s="23"/>
      <c r="R15" s="23"/>
    </row>
    <row r="16" spans="1:18" x14ac:dyDescent="0.2">
      <c r="A16" s="73" t="s">
        <v>569</v>
      </c>
      <c r="B16" s="567">
        <f>IF(I53="UDEN FOR OMRÅDET","NOT POSSIBLE",IF(J53="UDEN FOR OMRÅDET","NOT POSSIBLE",(-0.65+(($B$5-C53)*E53)+($B$6/D53))))</f>
        <v>3.3016949152542372</v>
      </c>
      <c r="C16" s="110" t="s">
        <v>594</v>
      </c>
      <c r="D16" s="549">
        <f>IF(S53="UDEN FOR OMRÅDET","NOT POSSIBLE",IF(T53="UDEN FOR OMRÅDET","NOT POSSIBLE",(ROUND(1.6084E-16*B6^5-7.8792682E-13*B6^4+1.22444138078E-09*B6^3-5.1797692941027E-07*B6^2+0.00125732825340572*B6+0.327414644949624,1)
)))</f>
        <v>2.1</v>
      </c>
      <c r="E16" s="35"/>
      <c r="F16" s="111">
        <f>ROUND(IF(D16&lt;1,14,((((-0.2957*D16^4+2.7972*D16^3-6.6079*D16^2+5.804*D16+12.383))))),1)</f>
        <v>15.6</v>
      </c>
      <c r="G16" s="570">
        <f t="shared" si="0"/>
        <v>47.83279165015194</v>
      </c>
      <c r="J16" s="23"/>
      <c r="R16" s="23"/>
    </row>
    <row r="17" spans="1:18" x14ac:dyDescent="0.2">
      <c r="A17" s="73" t="s">
        <v>18</v>
      </c>
      <c r="B17" s="567">
        <f>IF(I54="UDEN FOR OMRÅDET","NOT POSSIBLE",IF(J54="UDEN FOR OMRÅDET","NOT POSSIBLE",(-0.87+(($B$5-C54)*E54)+($B$6/D54))))</f>
        <v>2.9624313072439632</v>
      </c>
      <c r="C17" s="110" t="s">
        <v>50</v>
      </c>
      <c r="D17" s="549">
        <f>IF(S54="UDEN FOR OMRÅDET","NOT POSSIBLE",IF(T54="UDEN FOR OMRÅDET","NOT POSSIBLE",(-0.0000000000000007646*B6^4+8.66167203E-12*B6^3-1.368304333946E-08*B6^2+0.000674608449084757*B6+0.365102207453672)))</f>
        <v>1.2358147674100786</v>
      </c>
      <c r="E17" s="35"/>
      <c r="F17" s="111">
        <f>ROUND(IF(D17&lt;1,15,((((0.2852498017*D17^2+0.4377874703*D17+14.6948850119))))),1)</f>
        <v>15.7</v>
      </c>
      <c r="G17" s="570">
        <f t="shared" si="0"/>
        <v>47.356700323497691</v>
      </c>
      <c r="H17" s="58"/>
      <c r="J17" s="23"/>
      <c r="R17" s="23"/>
    </row>
    <row r="18" spans="1:18" x14ac:dyDescent="0.2">
      <c r="A18" s="73" t="s">
        <v>19</v>
      </c>
      <c r="B18" s="567" t="str">
        <f>IF(I55="UDEN FOR OMRÅDET","NOT POSSIBLE",IF(J55="UDEN FOR OMRÅDET","NOT POSSIBLE",(-1.27+(($B$5-C55)*E55)+($B$6/D55))))</f>
        <v>NOT POSSIBLE</v>
      </c>
      <c r="C18" s="110" t="s">
        <v>51</v>
      </c>
      <c r="D18" s="549">
        <f>IF(S55="UDEN FOR OMRÅDET","NOT POSSIBLE",IF(T55="UDEN FOR OMRÅDET","NOT POSSIBLE",(5.9873E-16*B6^4-0.0000000000095790398*B6^3+3.922038370896E-08*B6^2+0.0005179824896256*B6+0.107933010658806)))</f>
        <v>0.82825757795262833</v>
      </c>
      <c r="E18" s="35"/>
      <c r="F18" s="111">
        <f>ROUND(IF(D18&lt;2,10,((((0.95*D18^2-2.25*D18+10.8))))),1)</f>
        <v>10</v>
      </c>
      <c r="G18" s="570" t="str">
        <f t="shared" si="0"/>
        <v>NOT POSSIBLE</v>
      </c>
      <c r="H18" s="58"/>
      <c r="J18" s="23"/>
      <c r="R18" s="23"/>
    </row>
    <row r="19" spans="1:18" ht="13.5" thickBot="1" x14ac:dyDescent="0.25">
      <c r="A19" s="75" t="s">
        <v>20</v>
      </c>
      <c r="B19" s="568" t="str">
        <f>IF(I56="UDEN FOR OMRÅDET","NOT POSSIBLE",IF(J56="UDEN FOR OMRÅDET","NOT POSSIBLE",(-3.27+(($B$5-C56)*E56)+($B$6/D56))))</f>
        <v>NOT POSSIBLE</v>
      </c>
      <c r="C19" s="112" t="s">
        <v>52</v>
      </c>
      <c r="D19" s="554">
        <f>IF(S56="UDEN FOR OMRÅDET","NOT POSSIBLE",IF(T56="UDEN FOR OMRÅDET","NOT POSSIBLE",(ROUND(-0.00000000000000007*B6^4+0.00000000000118072*B6^3-0.00000001872155789*B6^2+0.00052869856838356*B6+0.0496570952659024,1))))</f>
        <v>0.7</v>
      </c>
      <c r="E19" s="37"/>
      <c r="F19" s="113">
        <f>ROUND(IF(D19&lt;2,10,((((-0.1914*D19^4+1.831*D19^3-4*D19^2+3.1548*D19+9.2057))))),1)</f>
        <v>10</v>
      </c>
      <c r="G19" s="570" t="str">
        <f t="shared" si="0"/>
        <v>NOT POSSIBLE</v>
      </c>
      <c r="H19" s="58"/>
      <c r="J19" s="23"/>
      <c r="R19" s="23"/>
    </row>
    <row r="20" spans="1:18" ht="13.5" thickTop="1" x14ac:dyDescent="0.2">
      <c r="A20" s="24"/>
      <c r="C20" s="27"/>
      <c r="F20" s="35" t="s">
        <v>598</v>
      </c>
      <c r="J20" s="23"/>
      <c r="L20" s="24"/>
      <c r="N20" s="27"/>
      <c r="R20" s="23"/>
    </row>
    <row r="21" spans="1:18" x14ac:dyDescent="0.2">
      <c r="A21" s="922"/>
      <c r="B21" s="923"/>
      <c r="C21" s="25"/>
      <c r="D21" s="25"/>
      <c r="F21" s="35" t="str">
        <f>IF(B11="NOT POSSIBLE","NOT POSSIBLE",($B$6/(1000*F48))^2*100)</f>
        <v>NOT POSSIBLE</v>
      </c>
      <c r="J21" s="23"/>
      <c r="L21" s="24"/>
      <c r="N21" s="25"/>
      <c r="O21" s="25"/>
      <c r="R21" s="23"/>
    </row>
    <row r="22" spans="1:18" x14ac:dyDescent="0.2">
      <c r="A22" s="32"/>
      <c r="F22" s="35" t="str">
        <f t="shared" ref="F22:F29" si="1">IF(B12="NOT POSSIBLE","NOT POSSIBLE",($B$6/(1000*F49))^2*100)</f>
        <v>NOT POSSIBLE</v>
      </c>
      <c r="J22" s="23"/>
      <c r="L22" s="24"/>
      <c r="N22" s="19"/>
      <c r="R22" s="23"/>
    </row>
    <row r="23" spans="1:18" x14ac:dyDescent="0.2">
      <c r="A23" s="76"/>
      <c r="F23" s="35" t="str">
        <f t="shared" si="1"/>
        <v>NOT POSSIBLE</v>
      </c>
      <c r="J23" s="23"/>
      <c r="L23" s="24"/>
      <c r="N23" s="58"/>
      <c r="R23" s="23"/>
    </row>
    <row r="24" spans="1:18" x14ac:dyDescent="0.2">
      <c r="A24" s="76"/>
      <c r="F24" s="35">
        <f t="shared" si="1"/>
        <v>13.795918367346941</v>
      </c>
      <c r="J24" s="23"/>
      <c r="L24" s="24"/>
      <c r="N24" s="58"/>
      <c r="R24" s="23"/>
    </row>
    <row r="25" spans="1:18" x14ac:dyDescent="0.2">
      <c r="A25" s="76"/>
      <c r="F25" s="35">
        <f t="shared" si="1"/>
        <v>10.562500000000002</v>
      </c>
      <c r="J25" s="23"/>
      <c r="L25" s="24"/>
      <c r="N25" s="58"/>
      <c r="R25" s="23"/>
    </row>
    <row r="26" spans="1:18" x14ac:dyDescent="0.2">
      <c r="A26" s="76"/>
      <c r="F26" s="35">
        <f t="shared" si="1"/>
        <v>2.232791650151936</v>
      </c>
      <c r="J26" s="23"/>
      <c r="L26" s="24"/>
      <c r="N26" s="58"/>
      <c r="R26" s="23"/>
    </row>
    <row r="27" spans="1:18" x14ac:dyDescent="0.2">
      <c r="A27" s="76"/>
      <c r="F27" s="35">
        <f t="shared" si="1"/>
        <v>1.6567003234976965</v>
      </c>
      <c r="J27" s="23"/>
      <c r="L27" s="24"/>
      <c r="N27" s="58"/>
      <c r="R27" s="23"/>
    </row>
    <row r="28" spans="1:18" x14ac:dyDescent="0.2">
      <c r="A28" s="76"/>
      <c r="F28" s="35" t="str">
        <f t="shared" si="1"/>
        <v>NOT POSSIBLE</v>
      </c>
      <c r="J28" s="23"/>
      <c r="L28" s="24"/>
      <c r="N28" s="58"/>
      <c r="R28" s="23"/>
    </row>
    <row r="29" spans="1:18" x14ac:dyDescent="0.2">
      <c r="A29" s="76"/>
      <c r="F29" s="35" t="str">
        <f t="shared" si="1"/>
        <v>NOT POSSIBLE</v>
      </c>
      <c r="J29" s="23"/>
      <c r="L29" s="24"/>
      <c r="N29" s="58"/>
      <c r="R29" s="23"/>
    </row>
    <row r="30" spans="1:18" x14ac:dyDescent="0.2">
      <c r="A30" s="76"/>
      <c r="F30" s="35"/>
      <c r="J30" s="23"/>
      <c r="L30" s="24"/>
      <c r="N30" s="58"/>
      <c r="R30" s="23"/>
    </row>
    <row r="31" spans="1:18" ht="13.5" thickBot="1" x14ac:dyDescent="0.25">
      <c r="A31" s="29" t="s">
        <v>64</v>
      </c>
      <c r="F31" s="35"/>
      <c r="J31" s="23"/>
      <c r="L31" s="24"/>
      <c r="N31" s="58"/>
      <c r="R31" s="23"/>
    </row>
    <row r="32" spans="1:18" ht="13.5" thickTop="1" x14ac:dyDescent="0.2">
      <c r="A32" s="528"/>
      <c r="B32" s="930" t="s">
        <v>616</v>
      </c>
      <c r="C32" s="931"/>
      <c r="D32" s="924" t="s">
        <v>617</v>
      </c>
      <c r="E32" s="924"/>
      <c r="F32" s="924"/>
      <c r="G32" s="924"/>
      <c r="H32" s="919" t="s">
        <v>618</v>
      </c>
      <c r="I32" s="920"/>
      <c r="J32" s="921"/>
      <c r="L32" s="24"/>
      <c r="N32" s="58"/>
      <c r="R32" s="23"/>
    </row>
    <row r="33" spans="1:20" ht="12.75" customHeight="1" x14ac:dyDescent="0.2">
      <c r="A33" s="529" t="s">
        <v>615</v>
      </c>
      <c r="B33" s="114" t="s">
        <v>127</v>
      </c>
      <c r="C33" s="115" t="s">
        <v>128</v>
      </c>
      <c r="D33" s="116" t="s">
        <v>127</v>
      </c>
      <c r="E33" s="74"/>
      <c r="F33" s="77"/>
      <c r="G33" s="117" t="s">
        <v>128</v>
      </c>
      <c r="H33" s="118" t="s">
        <v>129</v>
      </c>
      <c r="I33" s="78" t="s">
        <v>127</v>
      </c>
      <c r="J33" s="36" t="s">
        <v>128</v>
      </c>
      <c r="L33" s="24"/>
      <c r="N33" s="58"/>
      <c r="R33" s="23"/>
    </row>
    <row r="34" spans="1:20" x14ac:dyDescent="0.2">
      <c r="A34" s="79" t="s">
        <v>141</v>
      </c>
      <c r="B34" s="114" t="s">
        <v>31</v>
      </c>
      <c r="C34" s="119" t="s">
        <v>599</v>
      </c>
      <c r="D34" s="116" t="s">
        <v>579</v>
      </c>
      <c r="E34" s="72"/>
      <c r="F34" s="72"/>
      <c r="G34" s="120" t="s">
        <v>568</v>
      </c>
      <c r="H34" s="121" t="s">
        <v>130</v>
      </c>
      <c r="I34" s="78" t="s">
        <v>31</v>
      </c>
      <c r="J34" s="36" t="s">
        <v>568</v>
      </c>
      <c r="L34" s="24"/>
      <c r="N34" s="58"/>
      <c r="R34" s="23"/>
    </row>
    <row r="35" spans="1:20" x14ac:dyDescent="0.2">
      <c r="A35" s="79" t="s">
        <v>155</v>
      </c>
      <c r="B35" s="114" t="s">
        <v>33</v>
      </c>
      <c r="C35" s="119" t="s">
        <v>600</v>
      </c>
      <c r="D35" s="116" t="s">
        <v>573</v>
      </c>
      <c r="E35" s="72"/>
      <c r="F35" s="72"/>
      <c r="G35" s="120" t="s">
        <v>91</v>
      </c>
      <c r="H35" s="121" t="s">
        <v>163</v>
      </c>
      <c r="I35" s="78" t="s">
        <v>33</v>
      </c>
      <c r="J35" s="36" t="s">
        <v>601</v>
      </c>
      <c r="L35" s="24"/>
      <c r="N35" s="58"/>
      <c r="R35" s="23"/>
    </row>
    <row r="36" spans="1:20" x14ac:dyDescent="0.2">
      <c r="A36" s="79" t="s">
        <v>143</v>
      </c>
      <c r="B36" s="114" t="s">
        <v>33</v>
      </c>
      <c r="C36" s="119" t="s">
        <v>599</v>
      </c>
      <c r="D36" s="116" t="s">
        <v>580</v>
      </c>
      <c r="E36" s="72"/>
      <c r="F36" s="72"/>
      <c r="G36" s="120" t="s">
        <v>582</v>
      </c>
      <c r="H36" s="121" t="s">
        <v>130</v>
      </c>
      <c r="I36" s="78" t="s">
        <v>33</v>
      </c>
      <c r="J36" s="36" t="s">
        <v>582</v>
      </c>
      <c r="L36" s="24"/>
      <c r="N36" s="58"/>
      <c r="R36" s="23"/>
    </row>
    <row r="37" spans="1:20" x14ac:dyDescent="0.2">
      <c r="A37" s="79" t="s">
        <v>602</v>
      </c>
      <c r="B37" s="114" t="s">
        <v>34</v>
      </c>
      <c r="C37" s="119" t="s">
        <v>600</v>
      </c>
      <c r="D37" s="116" t="s">
        <v>574</v>
      </c>
      <c r="E37" s="72"/>
      <c r="F37" s="72"/>
      <c r="G37" s="120" t="s">
        <v>78</v>
      </c>
      <c r="H37" s="121" t="s">
        <v>163</v>
      </c>
      <c r="I37" s="78" t="s">
        <v>603</v>
      </c>
      <c r="J37" s="36" t="s">
        <v>601</v>
      </c>
      <c r="L37" s="24"/>
      <c r="N37" s="58"/>
      <c r="R37" s="23"/>
    </row>
    <row r="38" spans="1:20" x14ac:dyDescent="0.2">
      <c r="A38" s="79" t="s">
        <v>144</v>
      </c>
      <c r="B38" s="114" t="s">
        <v>596</v>
      </c>
      <c r="C38" s="119" t="s">
        <v>599</v>
      </c>
      <c r="D38" s="116" t="s">
        <v>595</v>
      </c>
      <c r="E38" s="72"/>
      <c r="F38" s="72"/>
      <c r="G38" s="120" t="s">
        <v>91</v>
      </c>
      <c r="H38" s="121" t="s">
        <v>130</v>
      </c>
      <c r="I38" s="78" t="s">
        <v>596</v>
      </c>
      <c r="J38" s="36" t="s">
        <v>91</v>
      </c>
      <c r="L38" s="24"/>
      <c r="N38" s="58"/>
      <c r="R38" s="23"/>
    </row>
    <row r="39" spans="1:20" x14ac:dyDescent="0.2">
      <c r="A39" s="79" t="s">
        <v>604</v>
      </c>
      <c r="B39" s="114" t="s">
        <v>570</v>
      </c>
      <c r="C39" s="119" t="s">
        <v>600</v>
      </c>
      <c r="D39" s="116" t="s">
        <v>595</v>
      </c>
      <c r="E39" s="72"/>
      <c r="F39" s="72"/>
      <c r="G39" s="120" t="s">
        <v>91</v>
      </c>
      <c r="H39" s="121" t="s">
        <v>131</v>
      </c>
      <c r="I39" s="78" t="s">
        <v>605</v>
      </c>
      <c r="J39" s="36" t="s">
        <v>601</v>
      </c>
      <c r="L39" s="24"/>
      <c r="N39" s="58"/>
      <c r="R39" s="23"/>
    </row>
    <row r="40" spans="1:20" x14ac:dyDescent="0.2">
      <c r="A40" s="79" t="s">
        <v>147</v>
      </c>
      <c r="B40" s="114" t="s">
        <v>37</v>
      </c>
      <c r="C40" s="119" t="s">
        <v>600</v>
      </c>
      <c r="D40" s="116" t="s">
        <v>581</v>
      </c>
      <c r="E40" s="72"/>
      <c r="F40" s="72"/>
      <c r="G40" s="120" t="s">
        <v>94</v>
      </c>
      <c r="H40" s="121" t="s">
        <v>131</v>
      </c>
      <c r="I40" s="78" t="s">
        <v>37</v>
      </c>
      <c r="J40" s="36" t="s">
        <v>601</v>
      </c>
      <c r="L40" s="24"/>
      <c r="N40" s="58"/>
      <c r="R40" s="23"/>
    </row>
    <row r="41" spans="1:20" x14ac:dyDescent="0.2">
      <c r="A41" s="79" t="s">
        <v>148</v>
      </c>
      <c r="B41" s="114" t="s">
        <v>38</v>
      </c>
      <c r="C41" s="119" t="s">
        <v>600</v>
      </c>
      <c r="D41" s="116" t="s">
        <v>575</v>
      </c>
      <c r="E41" s="72"/>
      <c r="F41" s="72"/>
      <c r="G41" s="120" t="s">
        <v>568</v>
      </c>
      <c r="H41" s="121" t="s">
        <v>131</v>
      </c>
      <c r="I41" s="78" t="s">
        <v>606</v>
      </c>
      <c r="J41" s="36" t="s">
        <v>601</v>
      </c>
      <c r="L41" s="24"/>
      <c r="O41" s="28"/>
      <c r="R41" s="23"/>
    </row>
    <row r="42" spans="1:20" ht="13.5" thickBot="1" x14ac:dyDescent="0.25">
      <c r="A42" s="80" t="s">
        <v>149</v>
      </c>
      <c r="B42" s="122" t="s">
        <v>587</v>
      </c>
      <c r="C42" s="123" t="s">
        <v>600</v>
      </c>
      <c r="D42" s="124" t="s">
        <v>576</v>
      </c>
      <c r="E42" s="72"/>
      <c r="F42" s="72"/>
      <c r="G42" s="125" t="s">
        <v>568</v>
      </c>
      <c r="H42" s="126" t="s">
        <v>131</v>
      </c>
      <c r="I42" s="81" t="s">
        <v>135</v>
      </c>
      <c r="J42" s="82" t="s">
        <v>601</v>
      </c>
      <c r="L42" s="29" t="s">
        <v>28</v>
      </c>
      <c r="M42" s="30"/>
      <c r="N42" s="30"/>
      <c r="O42" s="30"/>
      <c r="P42" s="30"/>
      <c r="Q42" s="30"/>
      <c r="R42" s="31"/>
    </row>
    <row r="43" spans="1:20" ht="10.5" customHeight="1" thickTop="1" x14ac:dyDescent="0.2"/>
    <row r="45" spans="1:20" s="4" customFormat="1" ht="31.5" hidden="1" customHeight="1" x14ac:dyDescent="0.4">
      <c r="A45" s="882" t="s">
        <v>11</v>
      </c>
      <c r="B45" s="883"/>
      <c r="C45" s="883"/>
      <c r="D45" s="883"/>
      <c r="E45" s="883"/>
      <c r="F45" s="883"/>
      <c r="G45" s="883"/>
      <c r="H45" s="883"/>
      <c r="I45" s="883"/>
      <c r="J45" s="883"/>
      <c r="K45" s="6"/>
      <c r="L45" s="882" t="s">
        <v>11</v>
      </c>
      <c r="M45" s="883"/>
      <c r="N45" s="883"/>
      <c r="O45" s="883"/>
      <c r="P45" s="883"/>
      <c r="Q45" s="883"/>
      <c r="R45" s="883"/>
    </row>
    <row r="46" spans="1:20" ht="13.5" hidden="1" thickBot="1" x14ac:dyDescent="0.25"/>
    <row r="47" spans="1:20" ht="13.5" hidden="1" thickTop="1" x14ac:dyDescent="0.2">
      <c r="A47" s="9" t="s">
        <v>0</v>
      </c>
      <c r="B47" s="52"/>
      <c r="C47" s="10" t="s">
        <v>607</v>
      </c>
      <c r="D47" s="10" t="s">
        <v>608</v>
      </c>
      <c r="E47" s="10" t="s">
        <v>609</v>
      </c>
      <c r="F47" s="10" t="s">
        <v>8</v>
      </c>
      <c r="G47" s="10" t="s">
        <v>4</v>
      </c>
      <c r="H47" s="10" t="s">
        <v>5</v>
      </c>
      <c r="I47" s="11" t="s">
        <v>6</v>
      </c>
      <c r="J47" s="12" t="s">
        <v>7</v>
      </c>
      <c r="L47" s="9" t="s">
        <v>0</v>
      </c>
      <c r="M47" s="10" t="s">
        <v>1</v>
      </c>
      <c r="N47" s="10" t="s">
        <v>2</v>
      </c>
      <c r="O47" s="10" t="s">
        <v>3</v>
      </c>
      <c r="P47" s="10" t="s">
        <v>8</v>
      </c>
      <c r="Q47" s="10" t="s">
        <v>4</v>
      </c>
      <c r="R47" s="10" t="s">
        <v>5</v>
      </c>
      <c r="S47" s="11" t="s">
        <v>6</v>
      </c>
      <c r="T47" s="12" t="s">
        <v>7</v>
      </c>
    </row>
    <row r="48" spans="1:20" hidden="1" x14ac:dyDescent="0.2">
      <c r="A48" s="13" t="s">
        <v>12</v>
      </c>
      <c r="B48" s="53"/>
      <c r="C48" s="60">
        <v>5</v>
      </c>
      <c r="D48" s="43">
        <v>272</v>
      </c>
      <c r="E48" s="444">
        <v>0.68</v>
      </c>
      <c r="F48" s="40">
        <v>2.9</v>
      </c>
      <c r="G48" s="520">
        <v>50</v>
      </c>
      <c r="H48" s="1">
        <v>600</v>
      </c>
      <c r="I48" s="2" t="str">
        <f>IF($B$6&lt;=G48-1,"UDEN FOR OMRÅDET",IF($B$6&gt;=H48+1,"UDEN FOR OMRÅDET",$B$6))</f>
        <v>UDEN FOR OMRÅDET</v>
      </c>
      <c r="J48" s="14">
        <f>IF($B$5&lt;5,"UDEN FOR OMRÅDET",IF($B$5&gt;30,"UDEN FOR OMRÅDET",$B$5))</f>
        <v>30</v>
      </c>
      <c r="L48" s="518" t="s">
        <v>100</v>
      </c>
      <c r="M48" s="511"/>
      <c r="N48" s="511"/>
      <c r="O48" s="512"/>
      <c r="P48" s="513">
        <v>2.6</v>
      </c>
      <c r="Q48" s="38">
        <v>40</v>
      </c>
      <c r="R48" s="530">
        <v>900</v>
      </c>
      <c r="S48" s="516" t="str">
        <f t="shared" ref="S48:S56" si="2">IF($B$6&lt;=Q48-1,"UDEN FOR OMRÅDET",IF($B$6&gt;=R48+1,"UDEN FOR OMRÅDET",$B$6))</f>
        <v>UDEN FOR OMRÅDET</v>
      </c>
      <c r="T48" s="14">
        <f>IF($B$5&lt;5,"UDEN FOR OMRÅDET",IF($B$5&gt;30,"UDEN FOR OMRÅDET",$B$5))</f>
        <v>30</v>
      </c>
    </row>
    <row r="49" spans="1:20" hidden="1" x14ac:dyDescent="0.2">
      <c r="A49" s="13" t="s">
        <v>13</v>
      </c>
      <c r="B49" s="53"/>
      <c r="C49" s="60">
        <v>20</v>
      </c>
      <c r="D49" s="43">
        <v>312.5</v>
      </c>
      <c r="E49" s="444">
        <v>0.40150000000000002</v>
      </c>
      <c r="F49" s="40">
        <v>2.9</v>
      </c>
      <c r="G49" s="520">
        <v>100</v>
      </c>
      <c r="H49" s="1">
        <v>1000</v>
      </c>
      <c r="I49" s="2" t="str">
        <f>IF($B$6&lt;=G49-1,"UDEN FOR OMRÅDET",IF($B$6&gt;=H49+1,"UDEN FOR OMRÅDET",$B$6))</f>
        <v>UDEN FOR OMRÅDET</v>
      </c>
      <c r="J49" s="14">
        <f>IF($B$5&lt;20,"UDEN FOR OMRÅDET",IF($B$5&gt;60,"UDEN FOR OMRÅDET",$B$5))</f>
        <v>30</v>
      </c>
      <c r="L49" s="518" t="s">
        <v>102</v>
      </c>
      <c r="M49" s="511"/>
      <c r="N49" s="511"/>
      <c r="O49" s="512"/>
      <c r="P49" s="513">
        <v>2.6</v>
      </c>
      <c r="Q49" s="38">
        <v>60</v>
      </c>
      <c r="R49" s="530">
        <v>1080</v>
      </c>
      <c r="S49" s="516" t="str">
        <f t="shared" si="2"/>
        <v>UDEN FOR OMRÅDET</v>
      </c>
      <c r="T49" s="14">
        <f>IF($B$5&lt;20,"UDEN FOR OMRÅDET",IF($B$5&gt;60,"UDEN FOR OMRÅDET",$B$5))</f>
        <v>30</v>
      </c>
    </row>
    <row r="50" spans="1:20" hidden="1" x14ac:dyDescent="0.2">
      <c r="A50" s="13" t="s">
        <v>14</v>
      </c>
      <c r="B50" s="53"/>
      <c r="C50" s="60">
        <v>5</v>
      </c>
      <c r="D50" s="43">
        <v>272</v>
      </c>
      <c r="E50" s="444">
        <v>0.68</v>
      </c>
      <c r="F50" s="40">
        <v>3.5</v>
      </c>
      <c r="G50" s="520">
        <v>100</v>
      </c>
      <c r="H50" s="1">
        <v>1000</v>
      </c>
      <c r="I50" s="2" t="str">
        <f t="shared" ref="I50:I56" si="3">IF($B$6&lt;=G50-1,"UDEN FOR OMRÅDET",IF($B$6&gt;=H50+1,"UDEN FOR OMRÅDET",$B$6))</f>
        <v>UDEN FOR OMRÅDET</v>
      </c>
      <c r="J50" s="14">
        <f>IF($B$5&lt;5,"UDEN FOR OMRÅDET",IF($B$5&gt;30,"UDEN FOR OMRÅDET",$B$5))</f>
        <v>30</v>
      </c>
      <c r="L50" s="518" t="s">
        <v>104</v>
      </c>
      <c r="M50" s="511"/>
      <c r="N50" s="511"/>
      <c r="O50" s="512"/>
      <c r="P50" s="513">
        <v>4</v>
      </c>
      <c r="Q50" s="38">
        <v>86</v>
      </c>
      <c r="R50" s="530">
        <v>1550</v>
      </c>
      <c r="S50" s="516">
        <f t="shared" si="2"/>
        <v>1300</v>
      </c>
      <c r="T50" s="14">
        <f t="shared" ref="T50:T52" si="4">IF($B$5&lt;5,"UDEN FOR OMRÅDET",IF($B$5&gt;30,"UDEN FOR OMRÅDET",$B$5))</f>
        <v>30</v>
      </c>
    </row>
    <row r="51" spans="1:20" hidden="1" x14ac:dyDescent="0.2">
      <c r="A51" s="13" t="s">
        <v>15</v>
      </c>
      <c r="B51" s="53"/>
      <c r="C51" s="60">
        <v>20</v>
      </c>
      <c r="D51" s="43">
        <v>313</v>
      </c>
      <c r="E51" s="444">
        <v>0.40200000000000002</v>
      </c>
      <c r="F51" s="40">
        <v>3.5</v>
      </c>
      <c r="G51" s="520">
        <v>150</v>
      </c>
      <c r="H51" s="1">
        <v>2000</v>
      </c>
      <c r="I51" s="2">
        <f t="shared" si="3"/>
        <v>1300</v>
      </c>
      <c r="J51" s="14">
        <f>IF($B$5&lt;20,"UDEN FOR OMRÅDET",IF($B$5&gt;60,"UDEN FOR OMRÅDET",$B$5))</f>
        <v>30</v>
      </c>
      <c r="L51" s="518" t="s">
        <v>106</v>
      </c>
      <c r="M51" s="511"/>
      <c r="N51" s="511"/>
      <c r="O51" s="512"/>
      <c r="P51" s="513">
        <v>4</v>
      </c>
      <c r="Q51" s="38">
        <v>102</v>
      </c>
      <c r="R51" s="530">
        <v>1930</v>
      </c>
      <c r="S51" s="516">
        <f t="shared" si="2"/>
        <v>1300</v>
      </c>
      <c r="T51" s="14">
        <f>IF($B$5&lt;20,"UDEN FOR OMRÅDET",IF($B$5&gt;60,"UDEN FOR OMRÅDET",$B$5))</f>
        <v>30</v>
      </c>
    </row>
    <row r="52" spans="1:20" hidden="1" x14ac:dyDescent="0.2">
      <c r="A52" s="13" t="s">
        <v>16</v>
      </c>
      <c r="B52" s="53"/>
      <c r="C52" s="60">
        <v>5</v>
      </c>
      <c r="D52" s="43">
        <v>321.5</v>
      </c>
      <c r="E52" s="444">
        <v>0.61199999999999999</v>
      </c>
      <c r="F52" s="40">
        <v>4</v>
      </c>
      <c r="G52" s="520">
        <v>600</v>
      </c>
      <c r="H52" s="1">
        <v>2100</v>
      </c>
      <c r="I52" s="2">
        <f t="shared" si="3"/>
        <v>1300</v>
      </c>
      <c r="J52" s="14">
        <f>IF($B$5&lt;5,"UDEN FOR OMRÅDET",IF($B$5&gt;30,"UDEN FOR OMRÅDET",$B$5))</f>
        <v>30</v>
      </c>
      <c r="L52" s="518" t="s">
        <v>111</v>
      </c>
      <c r="M52" s="511"/>
      <c r="N52" s="511"/>
      <c r="O52" s="512"/>
      <c r="P52" s="513">
        <v>4.2</v>
      </c>
      <c r="Q52" s="38">
        <v>137</v>
      </c>
      <c r="R52" s="530">
        <v>2400</v>
      </c>
      <c r="S52" s="516">
        <f t="shared" si="2"/>
        <v>1300</v>
      </c>
      <c r="T52" s="14">
        <f t="shared" si="4"/>
        <v>30</v>
      </c>
    </row>
    <row r="53" spans="1:20" hidden="1" x14ac:dyDescent="0.2">
      <c r="A53" s="13" t="s">
        <v>569</v>
      </c>
      <c r="B53" s="53"/>
      <c r="C53" s="60">
        <v>20</v>
      </c>
      <c r="D53" s="43">
        <v>1180</v>
      </c>
      <c r="E53" s="444">
        <v>0.28499999999999998</v>
      </c>
      <c r="F53" s="40">
        <v>8.6999999999999993</v>
      </c>
      <c r="G53" s="520">
        <v>750</v>
      </c>
      <c r="H53" s="1">
        <v>4200</v>
      </c>
      <c r="I53" s="2">
        <f t="shared" si="3"/>
        <v>1300</v>
      </c>
      <c r="J53" s="14">
        <f>IF($B$5&lt;20,"UDEN FOR OMRÅDET",IF($B$5&gt;80,"UDEN FOR OMRÅDET",$B$5))</f>
        <v>30</v>
      </c>
      <c r="L53" s="518" t="s">
        <v>111</v>
      </c>
      <c r="M53" s="511"/>
      <c r="N53" s="511"/>
      <c r="O53" s="512"/>
      <c r="P53" s="513">
        <v>4.2</v>
      </c>
      <c r="Q53" s="38">
        <v>137</v>
      </c>
      <c r="R53" s="530">
        <v>2400</v>
      </c>
      <c r="S53" s="516">
        <f t="shared" si="2"/>
        <v>1300</v>
      </c>
      <c r="T53" s="14">
        <f>IF($B$5&lt;20,"UDEN FOR OMRÅDET",IF($B$5&gt;80,"UDEN FOR OMRÅDET",$B$5))</f>
        <v>30</v>
      </c>
    </row>
    <row r="54" spans="1:20" hidden="1" x14ac:dyDescent="0.2">
      <c r="A54" s="13" t="s">
        <v>18</v>
      </c>
      <c r="B54" s="53"/>
      <c r="C54" s="60">
        <v>20</v>
      </c>
      <c r="D54" s="43">
        <v>1201</v>
      </c>
      <c r="E54" s="444">
        <v>0.27500000000000002</v>
      </c>
      <c r="F54" s="40">
        <v>10.1</v>
      </c>
      <c r="G54" s="520">
        <v>1000</v>
      </c>
      <c r="H54" s="1">
        <v>5000</v>
      </c>
      <c r="I54" s="2">
        <f t="shared" si="3"/>
        <v>1300</v>
      </c>
      <c r="J54" s="14">
        <f>IF($B$5&lt;20,"UDEN FOR OMRÅDET",IF($B$5&gt;80,"UDEN FOR OMRÅDET",$B$5))</f>
        <v>30</v>
      </c>
      <c r="L54" s="518" t="s">
        <v>89</v>
      </c>
      <c r="M54" s="511"/>
      <c r="N54" s="511"/>
      <c r="O54" s="512"/>
      <c r="P54" s="513">
        <v>10.9</v>
      </c>
      <c r="Q54" s="38">
        <v>200</v>
      </c>
      <c r="R54" s="530">
        <v>5000</v>
      </c>
      <c r="S54" s="516">
        <f t="shared" si="2"/>
        <v>1300</v>
      </c>
      <c r="T54" s="14">
        <f>IF($B$5&lt;20,"UDEN FOR OMRÅDET",IF($B$5&gt;80,"UDEN FOR OMRÅDET",$B$5))</f>
        <v>30</v>
      </c>
    </row>
    <row r="55" spans="1:20" hidden="1" x14ac:dyDescent="0.2">
      <c r="A55" s="453" t="s">
        <v>19</v>
      </c>
      <c r="B55" s="53"/>
      <c r="C55" s="60">
        <v>20</v>
      </c>
      <c r="D55" s="43">
        <v>2410.6999999999998</v>
      </c>
      <c r="E55" s="444">
        <v>0.29880000000000001</v>
      </c>
      <c r="F55" s="40">
        <v>15.8</v>
      </c>
      <c r="G55" s="520">
        <v>3000</v>
      </c>
      <c r="H55" s="1">
        <v>8000</v>
      </c>
      <c r="I55" s="2" t="str">
        <f t="shared" si="3"/>
        <v>UDEN FOR OMRÅDET</v>
      </c>
      <c r="J55" s="14">
        <f>IF($B$5&lt;20,"UDEN FOR OMRÅDET",IF($B$5&gt;80,"UDEN FOR OMRÅDET",$B$5))</f>
        <v>30</v>
      </c>
      <c r="L55" s="518" t="s">
        <v>92</v>
      </c>
      <c r="M55" s="511"/>
      <c r="N55" s="511"/>
      <c r="O55" s="512"/>
      <c r="P55" s="531">
        <v>18</v>
      </c>
      <c r="Q55" s="516">
        <v>719</v>
      </c>
      <c r="R55" s="516">
        <v>7400</v>
      </c>
      <c r="S55" s="516">
        <f t="shared" si="2"/>
        <v>1300</v>
      </c>
      <c r="T55" s="14">
        <f>IF($B$5&lt;20,"UDEN FOR OMRÅDET",IF($B$5&gt;80,"UDEN FOR OMRÅDET",$B$5))</f>
        <v>30</v>
      </c>
    </row>
    <row r="56" spans="1:20" ht="13.5" hidden="1" thickBot="1" x14ac:dyDescent="0.25">
      <c r="A56" s="453" t="s">
        <v>20</v>
      </c>
      <c r="B56" s="53"/>
      <c r="C56" s="60">
        <v>20</v>
      </c>
      <c r="D56" s="43">
        <v>1547</v>
      </c>
      <c r="E56" s="444">
        <v>0.23</v>
      </c>
      <c r="F56" s="40">
        <v>16.2</v>
      </c>
      <c r="G56" s="520">
        <v>5000</v>
      </c>
      <c r="H56" s="1">
        <v>11500</v>
      </c>
      <c r="I56" s="2" t="str">
        <f t="shared" si="3"/>
        <v>UDEN FOR OMRÅDET</v>
      </c>
      <c r="J56" s="14">
        <f>IF($B$5&lt;20,"UDEN FOR OMRÅDET",IF($B$5&gt;80,"UDEN FOR OMRÅDET",$B$5))</f>
        <v>30</v>
      </c>
      <c r="L56" s="532" t="s">
        <v>95</v>
      </c>
      <c r="M56" s="533"/>
      <c r="N56" s="533"/>
      <c r="O56" s="534"/>
      <c r="P56" s="535">
        <v>20.3</v>
      </c>
      <c r="Q56" s="536">
        <v>900</v>
      </c>
      <c r="R56" s="536">
        <v>10350</v>
      </c>
      <c r="S56" s="536">
        <f t="shared" si="2"/>
        <v>1300</v>
      </c>
      <c r="T56" s="14">
        <f>IF($B$5&lt;20,"UDEN FOR OMRÅDET",IF($B$5&gt;80,"UDEN FOR OMRÅDET",$B$5))</f>
        <v>30</v>
      </c>
    </row>
    <row r="57" spans="1:20" ht="13.5" hidden="1" thickTop="1" x14ac:dyDescent="0.2">
      <c r="A57" s="8"/>
    </row>
    <row r="62" spans="1:20" x14ac:dyDescent="0.2">
      <c r="I62" s="103"/>
    </row>
  </sheetData>
  <sheetProtection sheet="1" objects="1" scenarios="1"/>
  <mergeCells count="14">
    <mergeCell ref="A45:J45"/>
    <mergeCell ref="L45:R45"/>
    <mergeCell ref="A9:B9"/>
    <mergeCell ref="C9:F9"/>
    <mergeCell ref="A21:B21"/>
    <mergeCell ref="B32:C32"/>
    <mergeCell ref="D32:G32"/>
    <mergeCell ref="H32:J32"/>
    <mergeCell ref="A1:J1"/>
    <mergeCell ref="L1:R1"/>
    <mergeCell ref="A2:J2"/>
    <mergeCell ref="L2:R2"/>
    <mergeCell ref="A8:B8"/>
    <mergeCell ref="C8:D8"/>
  </mergeCells>
  <pageMargins left="0.47244094488188981" right="0.31496062992125984" top="0.39370078740157483" bottom="0.19685039370078741" header="0.51181102362204722" footer="0.51181102362204722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D3BAE-3D20-4902-A721-E77CC7B7C5F3}">
  <dimension ref="A1:O190"/>
  <sheetViews>
    <sheetView zoomScaleNormal="100" workbookViewId="0">
      <selection activeCell="K9" sqref="K9"/>
    </sheetView>
  </sheetViews>
  <sheetFormatPr defaultColWidth="11.42578125" defaultRowHeight="12.75" x14ac:dyDescent="0.2"/>
  <cols>
    <col min="1" max="1" width="12.7109375" customWidth="1"/>
    <col min="2" max="2" width="14.28515625" bestFit="1" customWidth="1"/>
    <col min="3" max="4" width="12.7109375" style="385" customWidth="1"/>
    <col min="5" max="14" width="12.7109375" customWidth="1"/>
  </cols>
  <sheetData>
    <row r="1" spans="1:9" ht="21.75" thickTop="1" thickBot="1" x14ac:dyDescent="0.35">
      <c r="A1" s="932" t="s">
        <v>858</v>
      </c>
      <c r="B1" s="933"/>
      <c r="C1" s="933"/>
      <c r="D1" s="933"/>
      <c r="E1" s="933"/>
      <c r="F1" s="933"/>
      <c r="G1" s="933"/>
      <c r="H1" s="933"/>
      <c r="I1" s="934"/>
    </row>
    <row r="2" spans="1:9" ht="21.75" thickTop="1" thickBot="1" x14ac:dyDescent="0.35">
      <c r="A2" s="935" t="s">
        <v>853</v>
      </c>
      <c r="B2" s="936"/>
      <c r="C2" s="936"/>
      <c r="D2" s="936"/>
      <c r="E2" s="936"/>
      <c r="F2" s="936"/>
      <c r="G2" s="936"/>
      <c r="H2" s="936"/>
      <c r="I2" s="937"/>
    </row>
    <row r="3" spans="1:9" ht="20.25" x14ac:dyDescent="0.3">
      <c r="A3" s="682"/>
      <c r="B3" s="683"/>
      <c r="C3" s="616"/>
      <c r="D3" s="616"/>
      <c r="E3" s="616"/>
      <c r="F3" s="616"/>
      <c r="G3" s="616"/>
      <c r="H3" s="616"/>
      <c r="I3" s="617"/>
    </row>
    <row r="4" spans="1:9" x14ac:dyDescent="0.2">
      <c r="A4" s="684"/>
      <c r="B4" s="685"/>
      <c r="C4" s="19" t="s">
        <v>25</v>
      </c>
      <c r="D4" s="620"/>
      <c r="E4" s="619"/>
      <c r="F4" s="619"/>
      <c r="G4" s="619"/>
      <c r="H4" s="619"/>
      <c r="I4" s="621"/>
    </row>
    <row r="5" spans="1:9" x14ac:dyDescent="0.2">
      <c r="A5" s="686"/>
      <c r="B5" s="687" t="s">
        <v>770</v>
      </c>
      <c r="C5" s="33">
        <v>100</v>
      </c>
      <c r="D5" s="623" t="s">
        <v>69</v>
      </c>
      <c r="E5" s="619"/>
      <c r="F5" s="619"/>
      <c r="G5" s="619"/>
      <c r="H5" s="619"/>
      <c r="I5" s="621"/>
    </row>
    <row r="6" spans="1:9" x14ac:dyDescent="0.2">
      <c r="A6" s="686"/>
      <c r="B6" s="687" t="s">
        <v>782</v>
      </c>
      <c r="C6" s="33">
        <v>10</v>
      </c>
      <c r="D6" s="623" t="s">
        <v>783</v>
      </c>
      <c r="E6" s="619"/>
      <c r="F6" s="619"/>
      <c r="G6" s="619"/>
      <c r="H6" s="619"/>
      <c r="I6" s="621"/>
    </row>
    <row r="7" spans="1:9" x14ac:dyDescent="0.2">
      <c r="A7" s="686"/>
      <c r="B7" s="685"/>
      <c r="C7" s="688"/>
      <c r="D7" s="623"/>
      <c r="E7" s="619"/>
      <c r="F7" s="619"/>
      <c r="G7" s="619"/>
      <c r="H7" s="619"/>
      <c r="I7" s="621"/>
    </row>
    <row r="8" spans="1:9" x14ac:dyDescent="0.2">
      <c r="A8" s="686"/>
      <c r="B8" s="685"/>
      <c r="C8" s="688"/>
      <c r="D8" s="623"/>
      <c r="E8" s="619"/>
      <c r="F8" s="619"/>
      <c r="G8" s="619"/>
      <c r="H8" s="619"/>
      <c r="I8" s="621"/>
    </row>
    <row r="9" spans="1:9" x14ac:dyDescent="0.2">
      <c r="A9" s="622"/>
      <c r="B9" s="619"/>
      <c r="C9" s="624"/>
      <c r="D9" s="623"/>
      <c r="E9" s="619"/>
      <c r="F9" s="619"/>
      <c r="G9" s="619"/>
      <c r="H9" s="619"/>
      <c r="I9" s="621"/>
    </row>
    <row r="10" spans="1:9" x14ac:dyDescent="0.2">
      <c r="A10" s="622"/>
      <c r="B10" s="619"/>
      <c r="C10" s="624"/>
      <c r="D10" s="623"/>
      <c r="E10" s="619"/>
      <c r="F10" s="619"/>
      <c r="G10" s="619"/>
      <c r="H10" s="619"/>
      <c r="I10" s="621"/>
    </row>
    <row r="11" spans="1:9" x14ac:dyDescent="0.2">
      <c r="A11" s="622"/>
      <c r="B11" s="619"/>
      <c r="C11" s="624"/>
      <c r="D11" s="623"/>
      <c r="E11" s="619"/>
      <c r="F11" s="619"/>
      <c r="G11" s="619"/>
      <c r="H11" s="619"/>
      <c r="I11" s="621"/>
    </row>
    <row r="12" spans="1:9" x14ac:dyDescent="0.2">
      <c r="A12" s="622"/>
      <c r="B12" s="619"/>
      <c r="C12" s="624"/>
      <c r="D12" s="623"/>
      <c r="E12" s="619"/>
      <c r="F12" s="619"/>
      <c r="G12" s="619"/>
      <c r="H12" s="619"/>
      <c r="I12" s="621"/>
    </row>
    <row r="13" spans="1:9" x14ac:dyDescent="0.2">
      <c r="A13" s="622"/>
      <c r="B13" s="619"/>
      <c r="C13" s="624"/>
      <c r="D13" s="623"/>
      <c r="E13" s="619"/>
      <c r="F13" s="619"/>
      <c r="G13" s="619"/>
      <c r="H13" s="619"/>
      <c r="I13" s="621"/>
    </row>
    <row r="14" spans="1:9" x14ac:dyDescent="0.2">
      <c r="A14" s="622"/>
      <c r="B14" s="619"/>
      <c r="C14" s="624"/>
      <c r="D14" s="623"/>
      <c r="E14" s="619"/>
      <c r="F14" s="619"/>
      <c r="G14" s="619"/>
      <c r="H14" s="619"/>
      <c r="I14" s="621"/>
    </row>
    <row r="15" spans="1:9" x14ac:dyDescent="0.2">
      <c r="A15" s="622"/>
      <c r="B15" s="619"/>
      <c r="C15" s="624"/>
      <c r="D15" s="623"/>
      <c r="E15" s="619"/>
      <c r="F15" s="619"/>
      <c r="G15" s="619"/>
      <c r="H15" s="619"/>
      <c r="I15" s="621"/>
    </row>
    <row r="16" spans="1:9" x14ac:dyDescent="0.2">
      <c r="A16" s="622"/>
      <c r="B16" s="619"/>
      <c r="C16" s="624"/>
      <c r="D16" s="623"/>
      <c r="E16" s="619"/>
      <c r="F16" s="619"/>
      <c r="G16" s="619"/>
      <c r="H16" s="619"/>
      <c r="I16" s="621"/>
    </row>
    <row r="17" spans="1:9" x14ac:dyDescent="0.2">
      <c r="A17" s="622"/>
      <c r="B17" s="619"/>
      <c r="C17" s="624"/>
      <c r="D17" s="623"/>
      <c r="E17" s="619"/>
      <c r="F17" s="619"/>
      <c r="G17" s="619"/>
      <c r="H17" s="619"/>
      <c r="I17" s="621"/>
    </row>
    <row r="18" spans="1:9" x14ac:dyDescent="0.2">
      <c r="A18" s="622"/>
      <c r="B18" s="619"/>
      <c r="C18" s="624"/>
      <c r="D18" s="623"/>
      <c r="E18" s="619"/>
      <c r="F18" s="619"/>
      <c r="G18" s="619"/>
      <c r="H18" s="619"/>
      <c r="I18" s="621"/>
    </row>
    <row r="19" spans="1:9" x14ac:dyDescent="0.2">
      <c r="A19" s="622"/>
      <c r="B19" s="619"/>
      <c r="C19" s="624"/>
      <c r="D19" s="623"/>
      <c r="E19" s="619"/>
      <c r="F19" s="619"/>
      <c r="G19" s="619"/>
      <c r="H19" s="619"/>
      <c r="I19" s="621"/>
    </row>
    <row r="20" spans="1:9" x14ac:dyDescent="0.2">
      <c r="A20" s="622"/>
      <c r="B20" s="619"/>
      <c r="C20" s="624"/>
      <c r="D20" s="623"/>
      <c r="E20" s="619"/>
      <c r="F20" s="619"/>
      <c r="G20" s="619"/>
      <c r="H20" s="619"/>
      <c r="I20" s="621"/>
    </row>
    <row r="21" spans="1:9" x14ac:dyDescent="0.2">
      <c r="A21" s="622"/>
      <c r="B21" s="619"/>
      <c r="C21" s="624"/>
      <c r="D21" s="623"/>
      <c r="E21" s="619"/>
      <c r="F21" s="619"/>
      <c r="G21" s="619"/>
      <c r="H21" s="619"/>
      <c r="I21" s="621"/>
    </row>
    <row r="22" spans="1:9" x14ac:dyDescent="0.2">
      <c r="A22" s="622"/>
      <c r="B22" s="619"/>
      <c r="C22" s="624"/>
      <c r="D22" s="623"/>
      <c r="E22" s="619"/>
      <c r="F22" s="619"/>
      <c r="G22" s="619"/>
      <c r="H22" s="619"/>
      <c r="I22" s="621"/>
    </row>
    <row r="23" spans="1:9" x14ac:dyDescent="0.2">
      <c r="A23" s="622"/>
      <c r="B23" s="619"/>
      <c r="C23" s="624"/>
      <c r="D23" s="623"/>
      <c r="E23" s="619"/>
      <c r="F23" s="619"/>
      <c r="G23" s="619"/>
      <c r="H23" s="619"/>
      <c r="I23" s="621"/>
    </row>
    <row r="24" spans="1:9" x14ac:dyDescent="0.2">
      <c r="A24" s="622"/>
      <c r="B24" s="619"/>
      <c r="C24" s="624"/>
      <c r="D24" s="623"/>
      <c r="E24" s="619"/>
      <c r="F24" s="619"/>
      <c r="G24" s="619"/>
      <c r="H24" s="619"/>
      <c r="I24" s="621"/>
    </row>
    <row r="25" spans="1:9" x14ac:dyDescent="0.2">
      <c r="A25" s="622"/>
      <c r="B25" s="619"/>
      <c r="C25" s="624"/>
      <c r="D25" s="623"/>
      <c r="E25" s="619"/>
      <c r="F25" s="619"/>
      <c r="G25" s="619"/>
      <c r="H25" s="619"/>
      <c r="I25" s="621"/>
    </row>
    <row r="26" spans="1:9" x14ac:dyDescent="0.2">
      <c r="A26" s="622"/>
      <c r="B26" s="619"/>
      <c r="C26" s="624"/>
      <c r="D26" s="623"/>
      <c r="E26" s="619"/>
      <c r="F26" s="619"/>
      <c r="G26" s="619"/>
      <c r="H26" s="619"/>
      <c r="I26" s="621"/>
    </row>
    <row r="27" spans="1:9" ht="13.5" thickBot="1" x14ac:dyDescent="0.25">
      <c r="A27" s="618"/>
      <c r="B27" s="619"/>
      <c r="C27" s="620"/>
      <c r="D27" s="620"/>
      <c r="E27" s="619"/>
      <c r="F27" s="619"/>
      <c r="G27" s="619"/>
      <c r="H27" s="619"/>
      <c r="I27" s="621"/>
    </row>
    <row r="28" spans="1:9" ht="30" customHeight="1" thickTop="1" x14ac:dyDescent="0.2">
      <c r="A28" s="938" t="s">
        <v>704</v>
      </c>
      <c r="B28" s="939"/>
      <c r="C28" s="940"/>
      <c r="D28" s="941" t="s">
        <v>62</v>
      </c>
      <c r="E28" s="942"/>
      <c r="F28" s="619"/>
      <c r="G28" s="619"/>
      <c r="H28" s="619"/>
      <c r="I28" s="621"/>
    </row>
    <row r="29" spans="1:9" x14ac:dyDescent="0.2">
      <c r="A29" s="943" t="s">
        <v>784</v>
      </c>
      <c r="B29" s="944"/>
      <c r="C29" s="945"/>
      <c r="D29" s="946">
        <f>IF($C$6&lt;5,N47,(IF($C$6&gt;15,N47,(VLOOKUP($C$6,$M$35:$O$45,2)))))</f>
        <v>0.8</v>
      </c>
      <c r="E29" s="947"/>
      <c r="F29" s="619"/>
      <c r="G29" s="619"/>
      <c r="H29" s="619"/>
      <c r="I29" s="621"/>
    </row>
    <row r="30" spans="1:9" x14ac:dyDescent="0.2">
      <c r="A30" s="948" t="s">
        <v>785</v>
      </c>
      <c r="B30" s="949"/>
      <c r="C30" s="950"/>
      <c r="D30" s="946">
        <f>IF($C$6&lt;5,N47,(IF($C$6&gt;15,N47,(VLOOKUP($C$6,$M$74:$O$84,2)))))</f>
        <v>0.5</v>
      </c>
      <c r="E30" s="947"/>
      <c r="F30" s="619"/>
      <c r="G30" s="619"/>
      <c r="H30" s="619"/>
      <c r="I30" s="621"/>
    </row>
    <row r="31" spans="1:9" x14ac:dyDescent="0.2">
      <c r="A31" s="943" t="s">
        <v>786</v>
      </c>
      <c r="B31" s="944"/>
      <c r="C31" s="945"/>
      <c r="D31" s="946">
        <f>IF($C$6&lt;5,N47,(IF($C$6&gt;15,N47,(VLOOKUP($C$6,$M$115:$O$125,2)))))</f>
        <v>1.5</v>
      </c>
      <c r="E31" s="947"/>
      <c r="F31" s="619"/>
      <c r="G31" s="619"/>
      <c r="H31" s="619"/>
      <c r="I31" s="621"/>
    </row>
    <row r="32" spans="1:9" ht="13.5" thickBot="1" x14ac:dyDescent="0.25">
      <c r="A32" s="951" t="s">
        <v>787</v>
      </c>
      <c r="B32" s="952"/>
      <c r="C32" s="953"/>
      <c r="D32" s="954" t="str">
        <f>IF($C$6&lt;5,N47,(IF($C$6&gt;15,N47,(VLOOKUP($C$6,$M$154:$O$164,2)))))</f>
        <v>NOT POSSIBLE</v>
      </c>
      <c r="E32" s="955"/>
      <c r="F32" s="657"/>
      <c r="G32" s="657"/>
      <c r="H32" s="657"/>
      <c r="I32" s="658"/>
    </row>
    <row r="33" spans="1:15" ht="13.5" thickTop="1" x14ac:dyDescent="0.2">
      <c r="A33" s="620"/>
      <c r="B33" s="620"/>
      <c r="C33" s="620"/>
      <c r="D33" s="689"/>
      <c r="E33" s="689"/>
      <c r="F33" s="689"/>
      <c r="G33" s="619"/>
      <c r="H33" s="619"/>
      <c r="I33" s="619"/>
      <c r="J33" s="619"/>
    </row>
    <row r="34" spans="1:15" ht="13.5" hidden="1" thickTop="1" x14ac:dyDescent="0.2">
      <c r="A34" s="956" t="s">
        <v>788</v>
      </c>
      <c r="B34" s="957"/>
      <c r="C34" s="957"/>
      <c r="D34" s="957"/>
      <c r="E34" s="957"/>
      <c r="F34" s="957"/>
      <c r="G34" s="957"/>
      <c r="H34" s="957"/>
      <c r="I34" s="957"/>
      <c r="J34" s="957"/>
      <c r="K34" s="957"/>
      <c r="L34" s="958"/>
      <c r="M34" s="606" t="s">
        <v>789</v>
      </c>
      <c r="N34" s="888" t="s">
        <v>790</v>
      </c>
      <c r="O34" s="895"/>
    </row>
    <row r="35" spans="1:15" hidden="1" x14ac:dyDescent="0.2">
      <c r="A35" s="959" t="s">
        <v>789</v>
      </c>
      <c r="B35" s="960"/>
      <c r="C35" s="960"/>
      <c r="D35" s="960"/>
      <c r="E35" s="960"/>
      <c r="F35" s="960"/>
      <c r="G35" s="960"/>
      <c r="H35" s="960"/>
      <c r="I35" s="960"/>
      <c r="J35" s="960"/>
      <c r="K35" s="960"/>
      <c r="L35" s="961" t="s">
        <v>791</v>
      </c>
      <c r="M35" s="690">
        <v>5</v>
      </c>
      <c r="N35" s="963">
        <f>IF($C$5&lt;93,N47,(IF($C$5&gt;482,N47,(VLOOKUP($C$5,$A$37:$L$71,12)))))</f>
        <v>0.6</v>
      </c>
      <c r="O35" s="964"/>
    </row>
    <row r="36" spans="1:15" hidden="1" x14ac:dyDescent="0.2">
      <c r="A36" s="691">
        <v>5</v>
      </c>
      <c r="B36" s="692">
        <v>6</v>
      </c>
      <c r="C36" s="692">
        <v>7</v>
      </c>
      <c r="D36" s="692">
        <v>8</v>
      </c>
      <c r="E36" s="692">
        <v>9</v>
      </c>
      <c r="F36" s="692">
        <v>10</v>
      </c>
      <c r="G36" s="692">
        <v>11</v>
      </c>
      <c r="H36" s="692">
        <v>12</v>
      </c>
      <c r="I36" s="692">
        <v>13</v>
      </c>
      <c r="J36" s="692">
        <v>14</v>
      </c>
      <c r="K36" s="692">
        <v>15</v>
      </c>
      <c r="L36" s="962"/>
      <c r="M36" s="690">
        <v>6</v>
      </c>
      <c r="N36" s="963">
        <f>IF($C$5&lt;90,N47,(IF($C$5&gt;463,N47,(VLOOKUP($C$5,$B$37:$L$71,11)))))</f>
        <v>0.6</v>
      </c>
      <c r="O36" s="964"/>
    </row>
    <row r="37" spans="1:15" hidden="1" x14ac:dyDescent="0.2">
      <c r="A37" s="693">
        <v>93</v>
      </c>
      <c r="B37" s="694">
        <v>90</v>
      </c>
      <c r="C37" s="694">
        <v>86</v>
      </c>
      <c r="D37" s="694">
        <v>82</v>
      </c>
      <c r="E37" s="694">
        <v>78</v>
      </c>
      <c r="F37" s="694">
        <v>73</v>
      </c>
      <c r="G37" s="694">
        <v>69</v>
      </c>
      <c r="H37" s="694">
        <v>63</v>
      </c>
      <c r="I37" s="694">
        <v>58</v>
      </c>
      <c r="J37" s="694">
        <v>52</v>
      </c>
      <c r="K37" s="694">
        <v>45</v>
      </c>
      <c r="L37" s="695">
        <v>0.6</v>
      </c>
      <c r="M37" s="690">
        <v>7</v>
      </c>
      <c r="N37" s="963">
        <f>IF($C$5&lt;86,N47,(IF($C$5&gt;443,N47,(VLOOKUP($C$5,$C$37:$L$71,10)))))</f>
        <v>0.7</v>
      </c>
      <c r="O37" s="964"/>
    </row>
    <row r="38" spans="1:15" hidden="1" x14ac:dyDescent="0.2">
      <c r="A38" s="693">
        <v>105.95178493492693</v>
      </c>
      <c r="B38" s="694">
        <v>101.79518228390097</v>
      </c>
      <c r="C38" s="694">
        <v>97.461466957604543</v>
      </c>
      <c r="D38" s="694">
        <v>92.925862637071361</v>
      </c>
      <c r="E38" s="694">
        <v>88.157213840725873</v>
      </c>
      <c r="F38" s="694">
        <v>83.115418289719784</v>
      </c>
      <c r="G38" s="694">
        <v>77.747354699633988</v>
      </c>
      <c r="H38" s="694">
        <v>71.98006368506708</v>
      </c>
      <c r="I38" s="694">
        <v>65.708507618282795</v>
      </c>
      <c r="J38" s="694">
        <v>58.771475893817247</v>
      </c>
      <c r="K38" s="694">
        <v>50.897591141950485</v>
      </c>
      <c r="L38" s="695">
        <v>0.7</v>
      </c>
      <c r="M38" s="690">
        <v>8</v>
      </c>
      <c r="N38" s="963">
        <f>IF($C$5&lt;82,N47,(IF($C$5&gt;423,N47,(VLOOKUP($C$5,$D$37:$L$71,9)))))</f>
        <v>0.7</v>
      </c>
      <c r="O38" s="964"/>
    </row>
    <row r="39" spans="1:15" hidden="1" x14ac:dyDescent="0.2">
      <c r="A39" s="693">
        <v>118.37496179069022</v>
      </c>
      <c r="B39" s="694">
        <v>113.73098452974575</v>
      </c>
      <c r="C39" s="694">
        <v>108.8891275805953</v>
      </c>
      <c r="D39" s="694">
        <v>103.82170952368803</v>
      </c>
      <c r="E39" s="694">
        <v>98.493921800174803</v>
      </c>
      <c r="F39" s="694">
        <v>92.860960014081513</v>
      </c>
      <c r="G39" s="694">
        <v>86.863474244901923</v>
      </c>
      <c r="H39" s="694">
        <v>80.419950392005532</v>
      </c>
      <c r="I39" s="694">
        <v>73.413034838579776</v>
      </c>
      <c r="J39" s="694">
        <v>65.662614533449869</v>
      </c>
      <c r="K39" s="694">
        <v>56.865492264872877</v>
      </c>
      <c r="L39" s="695">
        <v>0.8</v>
      </c>
      <c r="M39" s="690">
        <v>9</v>
      </c>
      <c r="N39" s="963">
        <f>IF($C$5&lt;78,N47,(IF($C$5&gt;401,N47,(VLOOKUP($C$5,$E$37:$L$71,8)))))</f>
        <v>0.8</v>
      </c>
      <c r="O39" s="964"/>
    </row>
    <row r="40" spans="1:15" hidden="1" x14ac:dyDescent="0.2">
      <c r="A40" s="693">
        <v>130.67900848005002</v>
      </c>
      <c r="B40" s="694">
        <v>125.55233021393843</v>
      </c>
      <c r="C40" s="694">
        <v>120.20720438879977</v>
      </c>
      <c r="D40" s="694">
        <v>114.61307234251919</v>
      </c>
      <c r="E40" s="694">
        <v>108.7315074696032</v>
      </c>
      <c r="F40" s="694">
        <v>102.51304834718957</v>
      </c>
      <c r="G40" s="694">
        <v>95.892176147244015</v>
      </c>
      <c r="H40" s="694">
        <v>88.77890408804852</v>
      </c>
      <c r="I40" s="694">
        <v>81.04368066601964</v>
      </c>
      <c r="J40" s="694">
        <v>72.487671646402134</v>
      </c>
      <c r="K40" s="694">
        <v>62.776165106969216</v>
      </c>
      <c r="L40" s="695">
        <v>0.9</v>
      </c>
      <c r="M40" s="690">
        <v>10</v>
      </c>
      <c r="N40" s="963">
        <f>IF($C$5&lt;73,N47,(IF($C$5&gt;378,N47,(VLOOKUP($C$5,$F$37:$L$71,7)))))</f>
        <v>0.8</v>
      </c>
      <c r="O40" s="964"/>
    </row>
    <row r="41" spans="1:15" hidden="1" x14ac:dyDescent="0.2">
      <c r="A41" s="693">
        <v>142.86650660556313</v>
      </c>
      <c r="B41" s="694">
        <v>137.26169965998665</v>
      </c>
      <c r="C41" s="694">
        <v>131.41807211118018</v>
      </c>
      <c r="D41" s="694">
        <v>125.30221530878983</v>
      </c>
      <c r="E41" s="694">
        <v>118.87211887217831</v>
      </c>
      <c r="F41" s="694">
        <v>112.07370846470755</v>
      </c>
      <c r="G41" s="694">
        <v>104.83535478503055</v>
      </c>
      <c r="H41" s="694">
        <v>97.058678626767787</v>
      </c>
      <c r="I41" s="694">
        <v>88.602046142542108</v>
      </c>
      <c r="J41" s="694">
        <v>79.24807924811887</v>
      </c>
      <c r="K41" s="694">
        <v>68.630849829993323</v>
      </c>
      <c r="L41" s="695">
        <v>1</v>
      </c>
      <c r="M41" s="690">
        <v>11</v>
      </c>
      <c r="N41" s="963">
        <f>IF($C$5&lt;69,N47,(IF($C$5&gt;354,N47,(VLOOKUP($C$5,$G$37:$L$71,6)))))</f>
        <v>0.9</v>
      </c>
      <c r="O41" s="964"/>
    </row>
    <row r="42" spans="1:15" hidden="1" x14ac:dyDescent="0.2">
      <c r="A42" s="693">
        <v>155.18805795979708</v>
      </c>
      <c r="B42" s="694">
        <v>149.09986328219495</v>
      </c>
      <c r="C42" s="694">
        <v>142.75225086913736</v>
      </c>
      <c r="D42" s="694">
        <v>136.10893073432408</v>
      </c>
      <c r="E42" s="694">
        <v>129.12426930316749</v>
      </c>
      <c r="F42" s="694">
        <v>121.7395285867036</v>
      </c>
      <c r="G42" s="694">
        <v>113.87690159970423</v>
      </c>
      <c r="H42" s="694">
        <v>105.42952440082718</v>
      </c>
      <c r="I42" s="694">
        <v>96.243547902290643</v>
      </c>
      <c r="J42" s="694">
        <v>86.082846202111668</v>
      </c>
      <c r="K42" s="694">
        <v>74.549931641097473</v>
      </c>
      <c r="L42" s="695">
        <v>1.1000000000000001</v>
      </c>
      <c r="M42" s="690">
        <v>12</v>
      </c>
      <c r="N42" s="963">
        <f>IF($C$5&lt;63,N47,(IF($C$5&gt;327,N47,(VLOOKUP($C$5,$H$37:$L$71,5)))))</f>
        <v>1</v>
      </c>
      <c r="O42" s="964"/>
    </row>
    <row r="43" spans="1:15" hidden="1" x14ac:dyDescent="0.2">
      <c r="A43" s="693">
        <v>167.43246570856084</v>
      </c>
      <c r="B43" s="694">
        <v>160.86390972567244</v>
      </c>
      <c r="C43" s="694">
        <v>154.01546783102725</v>
      </c>
      <c r="D43" s="694">
        <v>146.84798674204248</v>
      </c>
      <c r="E43" s="694">
        <v>139.31223237451897</v>
      </c>
      <c r="F43" s="694">
        <v>131.34483228567794</v>
      </c>
      <c r="G43" s="694">
        <v>122.86184048407283</v>
      </c>
      <c r="H43" s="694">
        <v>113.7479614152036</v>
      </c>
      <c r="I43" s="694">
        <v>103.83720722889045</v>
      </c>
      <c r="J43" s="694">
        <v>92.874821583012647</v>
      </c>
      <c r="K43" s="694">
        <v>80.431954862836221</v>
      </c>
      <c r="L43" s="695">
        <v>1.2</v>
      </c>
      <c r="M43" s="690">
        <v>13</v>
      </c>
      <c r="N43" s="963">
        <f>IF($C$5&lt;58,N47,(IF($C$5&gt;299,N47,(VLOOKUP($C$5,$I$37:$L$71,4)))))</f>
        <v>1.1000000000000001</v>
      </c>
      <c r="O43" s="964"/>
    </row>
    <row r="44" spans="1:15" hidden="1" x14ac:dyDescent="0.2">
      <c r="A44" s="693">
        <v>179.60082320580418</v>
      </c>
      <c r="B44" s="694">
        <v>172.55488945091565</v>
      </c>
      <c r="C44" s="694">
        <v>165.20872873620482</v>
      </c>
      <c r="D44" s="694">
        <v>157.52034226679456</v>
      </c>
      <c r="E44" s="694">
        <v>149.43691781170841</v>
      </c>
      <c r="F44" s="694">
        <v>140.89047725903438</v>
      </c>
      <c r="G44" s="694">
        <v>131.79097374059302</v>
      </c>
      <c r="H44" s="694">
        <v>122.01473245763749</v>
      </c>
      <c r="I44" s="694">
        <v>111.38370219167638</v>
      </c>
      <c r="J44" s="694">
        <v>99.624611874472265</v>
      </c>
      <c r="K44" s="694">
        <v>86.277444725457826</v>
      </c>
      <c r="L44" s="695">
        <v>1.3</v>
      </c>
      <c r="M44" s="690">
        <v>14</v>
      </c>
      <c r="N44" s="963">
        <f>IF($C$5&lt;52,N47,(IF($C$5&gt;267,N47,(VLOOKUP($C$5,$J$37:$L$71,3)))))</f>
        <v>1.3</v>
      </c>
      <c r="O44" s="964"/>
    </row>
    <row r="45" spans="1:15" ht="13.5" hidden="1" thickBot="1" x14ac:dyDescent="0.25">
      <c r="A45" s="693">
        <v>191.69420092080682</v>
      </c>
      <c r="B45" s="694">
        <v>184.17383093154137</v>
      </c>
      <c r="C45" s="694">
        <v>176.33301827319048</v>
      </c>
      <c r="D45" s="694">
        <v>168.12693617224656</v>
      </c>
      <c r="E45" s="694">
        <v>159.49921629901507</v>
      </c>
      <c r="F45" s="694">
        <v>150.37730325196463</v>
      </c>
      <c r="G45" s="694">
        <v>140.66508687896462</v>
      </c>
      <c r="H45" s="694">
        <v>130.23056476879765</v>
      </c>
      <c r="I45" s="694">
        <v>118.88369666751339</v>
      </c>
      <c r="J45" s="694">
        <v>106.33281086601005</v>
      </c>
      <c r="K45" s="694">
        <v>92.086915465770687</v>
      </c>
      <c r="L45" s="695">
        <v>1.4</v>
      </c>
      <c r="M45" s="696">
        <v>15</v>
      </c>
      <c r="N45" s="967">
        <f>IF($C$5&lt;45,N47,(IF($C$5&gt;232,N47,(VLOOKUP($C$5,$K$37:$L$71,2)))))</f>
        <v>1.5</v>
      </c>
      <c r="O45" s="968"/>
    </row>
    <row r="46" spans="1:15" hidden="1" x14ac:dyDescent="0.2">
      <c r="A46" s="693">
        <v>203.71364706371534</v>
      </c>
      <c r="B46" s="694">
        <v>195.72174125528309</v>
      </c>
      <c r="C46" s="694">
        <v>187.38930065508009</v>
      </c>
      <c r="D46" s="694">
        <v>178.66868779951344</v>
      </c>
      <c r="E46" s="694">
        <v>169.49999999999997</v>
      </c>
      <c r="F46" s="694">
        <v>159.80613254815975</v>
      </c>
      <c r="G46" s="694">
        <v>149.48494907514936</v>
      </c>
      <c r="H46" s="694">
        <v>138.39617046724953</v>
      </c>
      <c r="I46" s="694">
        <v>126.3378407287381</v>
      </c>
      <c r="J46" s="694">
        <v>112.99999999999999</v>
      </c>
      <c r="K46" s="694">
        <v>97.860870627641546</v>
      </c>
      <c r="L46" s="695">
        <v>1.5</v>
      </c>
    </row>
    <row r="47" spans="1:15" ht="14.25" hidden="1" thickTop="1" thickBot="1" x14ac:dyDescent="0.25">
      <c r="A47" s="693">
        <v>215.66018819009298</v>
      </c>
      <c r="B47" s="694">
        <v>207.19960670482345</v>
      </c>
      <c r="C47" s="694">
        <v>198.3785201756499</v>
      </c>
      <c r="D47" s="694">
        <v>189.14649749738416</v>
      </c>
      <c r="E47" s="694">
        <v>179.44012306052164</v>
      </c>
      <c r="F47" s="694">
        <v>169.1777704440579</v>
      </c>
      <c r="G47" s="694">
        <v>158.25131361498887</v>
      </c>
      <c r="H47" s="694">
        <v>146.51224696016629</v>
      </c>
      <c r="I47" s="694">
        <v>133.74677101808464</v>
      </c>
      <c r="J47" s="694">
        <v>119.62674870701441</v>
      </c>
      <c r="K47" s="694">
        <v>103.59980335241173</v>
      </c>
      <c r="L47" s="695">
        <v>1.6</v>
      </c>
      <c r="M47" s="606" t="s">
        <v>792</v>
      </c>
      <c r="N47" s="969" t="s">
        <v>793</v>
      </c>
      <c r="O47" s="970"/>
    </row>
    <row r="48" spans="1:15" hidden="1" x14ac:dyDescent="0.2">
      <c r="A48" s="693">
        <v>227.18450651397865</v>
      </c>
      <c r="B48" s="694">
        <v>218.27181360721912</v>
      </c>
      <c r="C48" s="694">
        <v>208.97935120669032</v>
      </c>
      <c r="D48" s="694">
        <v>199.253993300395</v>
      </c>
      <c r="E48" s="694">
        <v>189.02893551395371</v>
      </c>
      <c r="F48" s="694">
        <v>178.21818952318836</v>
      </c>
      <c r="G48" s="694">
        <v>166.70785132172898</v>
      </c>
      <c r="H48" s="694">
        <v>154.34147954355078</v>
      </c>
      <c r="I48" s="694">
        <v>140.89384984120821</v>
      </c>
      <c r="J48" s="694">
        <v>126.0192903426358</v>
      </c>
      <c r="K48" s="694">
        <v>109.13590680360956</v>
      </c>
      <c r="L48" s="695">
        <v>1.7</v>
      </c>
      <c r="M48" s="697" t="s">
        <v>794</v>
      </c>
      <c r="N48" s="965" t="s">
        <v>795</v>
      </c>
      <c r="O48" s="966"/>
    </row>
    <row r="49" spans="1:15" hidden="1" x14ac:dyDescent="0.2">
      <c r="A49" s="693">
        <v>238.60775036990179</v>
      </c>
      <c r="B49" s="694">
        <v>229.24691130190479</v>
      </c>
      <c r="C49" s="694">
        <v>219.48720724985651</v>
      </c>
      <c r="D49" s="694">
        <v>209.27284093073214</v>
      </c>
      <c r="E49" s="694">
        <v>198.53364892656754</v>
      </c>
      <c r="F49" s="694">
        <v>187.17931926624698</v>
      </c>
      <c r="G49" s="694">
        <v>175.09022064596772</v>
      </c>
      <c r="H49" s="694">
        <v>162.10204554764786</v>
      </c>
      <c r="I49" s="694">
        <v>147.97824494029439</v>
      </c>
      <c r="J49" s="694">
        <v>132.35576595104502</v>
      </c>
      <c r="K49" s="694">
        <v>114.62345565095239</v>
      </c>
      <c r="L49" s="695">
        <v>1.8</v>
      </c>
      <c r="M49" s="697" t="s">
        <v>796</v>
      </c>
      <c r="N49" s="965" t="s">
        <v>797</v>
      </c>
      <c r="O49" s="966"/>
    </row>
    <row r="50" spans="1:15" ht="13.5" hidden="1" thickBot="1" x14ac:dyDescent="0.25">
      <c r="A50" s="693">
        <v>250.31035281680369</v>
      </c>
      <c r="B50" s="694">
        <v>240.49040804912858</v>
      </c>
      <c r="C50" s="694">
        <v>230.25203582161873</v>
      </c>
      <c r="D50" s="694">
        <v>219.53670225354949</v>
      </c>
      <c r="E50" s="694">
        <v>208.27080273703098</v>
      </c>
      <c r="F50" s="694">
        <v>196.3595959180272</v>
      </c>
      <c r="G50" s="694">
        <v>183.67758313265816</v>
      </c>
      <c r="H50" s="694">
        <v>170.05239834185869</v>
      </c>
      <c r="I50" s="694">
        <v>155.23589088281688</v>
      </c>
      <c r="J50" s="694">
        <v>138.84720182468732</v>
      </c>
      <c r="K50" s="694">
        <v>120.24520402456429</v>
      </c>
      <c r="L50" s="695">
        <v>1.9</v>
      </c>
      <c r="M50" s="698" t="s">
        <v>798</v>
      </c>
      <c r="N50" s="969" t="s">
        <v>793</v>
      </c>
      <c r="O50" s="970"/>
    </row>
    <row r="51" spans="1:15" hidden="1" x14ac:dyDescent="0.2">
      <c r="A51" s="693">
        <v>261.94453565408867</v>
      </c>
      <c r="B51" s="694">
        <v>251.6681693617202</v>
      </c>
      <c r="C51" s="694">
        <v>240.95392750632408</v>
      </c>
      <c r="D51" s="694">
        <v>229.74055560907451</v>
      </c>
      <c r="E51" s="694">
        <v>217.95102799117427</v>
      </c>
      <c r="F51" s="694">
        <v>205.48619981218451</v>
      </c>
      <c r="G51" s="694">
        <v>192.21473935184156</v>
      </c>
      <c r="H51" s="694">
        <v>177.95626916447688</v>
      </c>
      <c r="I51" s="694">
        <v>162.45110478474169</v>
      </c>
      <c r="J51" s="694">
        <v>145.30068532744951</v>
      </c>
      <c r="K51" s="694">
        <v>125.8340846808601</v>
      </c>
      <c r="L51" s="695">
        <v>2</v>
      </c>
    </row>
    <row r="52" spans="1:15" hidden="1" x14ac:dyDescent="0.2">
      <c r="A52" s="693">
        <v>273.5112122629215</v>
      </c>
      <c r="B52" s="694">
        <v>262.78107278791759</v>
      </c>
      <c r="C52" s="694">
        <v>251.59372249244373</v>
      </c>
      <c r="D52" s="694">
        <v>239.88520208558245</v>
      </c>
      <c r="E52" s="694">
        <v>227.57508466806433</v>
      </c>
      <c r="F52" s="694">
        <v>214.55984746385462</v>
      </c>
      <c r="G52" s="694">
        <v>200.70235954205543</v>
      </c>
      <c r="H52" s="694">
        <v>185.81427853581226</v>
      </c>
      <c r="I52" s="694">
        <v>169.62445310102066</v>
      </c>
      <c r="J52" s="694">
        <v>151.71672311204287</v>
      </c>
      <c r="K52" s="694">
        <v>131.3905363939588</v>
      </c>
      <c r="L52" s="695">
        <v>2.1</v>
      </c>
    </row>
    <row r="53" spans="1:15" hidden="1" x14ac:dyDescent="0.2">
      <c r="A53" s="693">
        <v>285.01127797234369</v>
      </c>
      <c r="B53" s="694">
        <v>273.82997853203938</v>
      </c>
      <c r="C53" s="694">
        <v>262.17224436291059</v>
      </c>
      <c r="D53" s="694">
        <v>249.97142693858891</v>
      </c>
      <c r="E53" s="694">
        <v>237.14371772649355</v>
      </c>
      <c r="F53" s="694">
        <v>223.58124122692277</v>
      </c>
      <c r="G53" s="694">
        <v>209.14110069520052</v>
      </c>
      <c r="H53" s="694">
        <v>193.62703471217176</v>
      </c>
      <c r="I53" s="694">
        <v>176.75649109115383</v>
      </c>
      <c r="J53" s="694">
        <v>158.09581181766237</v>
      </c>
      <c r="K53" s="694">
        <v>136.91498926601969</v>
      </c>
      <c r="L53" s="695">
        <v>2.2000000000000002</v>
      </c>
    </row>
    <row r="54" spans="1:15" hidden="1" x14ac:dyDescent="0.2">
      <c r="A54" s="693">
        <v>296.00708151612235</v>
      </c>
      <c r="B54" s="694">
        <v>284.39440485845165</v>
      </c>
      <c r="C54" s="694">
        <v>272.28691250571245</v>
      </c>
      <c r="D54" s="694">
        <v>259.61538461538464</v>
      </c>
      <c r="E54" s="694">
        <v>246.29277930157571</v>
      </c>
      <c r="F54" s="694">
        <v>232.20705920190125</v>
      </c>
      <c r="G54" s="694">
        <v>217.20981458096196</v>
      </c>
      <c r="H54" s="694">
        <v>201.09721220692353</v>
      </c>
      <c r="I54" s="694">
        <v>183.57579896189216</v>
      </c>
      <c r="J54" s="694">
        <v>164.19518620105046</v>
      </c>
      <c r="K54" s="694">
        <v>142.19720242922583</v>
      </c>
      <c r="L54" s="695">
        <v>2.2999999999999998</v>
      </c>
    </row>
    <row r="55" spans="1:15" hidden="1" x14ac:dyDescent="0.2">
      <c r="A55" s="693">
        <v>306.94059590051734</v>
      </c>
      <c r="B55" s="694">
        <v>294.89898569629884</v>
      </c>
      <c r="C55" s="694">
        <v>282.34428295548508</v>
      </c>
      <c r="D55" s="694">
        <v>269.20471108542705</v>
      </c>
      <c r="E55" s="694">
        <v>255.39001316325863</v>
      </c>
      <c r="F55" s="694">
        <v>240.78401354008241</v>
      </c>
      <c r="G55" s="694">
        <v>225.23282071983152</v>
      </c>
      <c r="H55" s="694">
        <v>208.52507255088759</v>
      </c>
      <c r="I55" s="694">
        <v>190.35647673587079</v>
      </c>
      <c r="J55" s="694">
        <v>170.26000877550572</v>
      </c>
      <c r="K55" s="694">
        <v>147.44949284814942</v>
      </c>
      <c r="L55" s="695">
        <v>2.4</v>
      </c>
    </row>
    <row r="56" spans="1:15" hidden="1" x14ac:dyDescent="0.2">
      <c r="A56" s="693">
        <v>318.24858796652984</v>
      </c>
      <c r="B56" s="694">
        <v>305.76335305293776</v>
      </c>
      <c r="C56" s="694">
        <v>292.74612277135429</v>
      </c>
      <c r="D56" s="694">
        <v>279.1224762091835</v>
      </c>
      <c r="E56" s="694">
        <v>264.79883129015428</v>
      </c>
      <c r="F56" s="694">
        <v>249.65473234072087</v>
      </c>
      <c r="G56" s="694">
        <v>233.53061835143234</v>
      </c>
      <c r="H56" s="694">
        <v>216.20734038206871</v>
      </c>
      <c r="I56" s="694">
        <v>197.36939570909445</v>
      </c>
      <c r="J56" s="694">
        <v>176.5325541934362</v>
      </c>
      <c r="K56" s="694">
        <v>152.88167652646888</v>
      </c>
      <c r="L56" s="695">
        <v>2.5</v>
      </c>
    </row>
    <row r="57" spans="1:15" hidden="1" x14ac:dyDescent="0.2">
      <c r="A57" s="693">
        <v>329.49335667509786</v>
      </c>
      <c r="B57" s="694">
        <v>316.566977372547</v>
      </c>
      <c r="C57" s="694">
        <v>303.08980555696382</v>
      </c>
      <c r="D57" s="694">
        <v>288.98479078028589</v>
      </c>
      <c r="E57" s="694">
        <v>274.15504440387929</v>
      </c>
      <c r="F57" s="694">
        <v>258.47585465930945</v>
      </c>
      <c r="G57" s="694">
        <v>241.78202272217825</v>
      </c>
      <c r="H57" s="694">
        <v>223.84665639985633</v>
      </c>
      <c r="I57" s="694">
        <v>204.34310522051581</v>
      </c>
      <c r="J57" s="694">
        <v>182.77002960258619</v>
      </c>
      <c r="K57" s="694">
        <v>158.2834886862735</v>
      </c>
      <c r="L57" s="695">
        <v>2.6</v>
      </c>
    </row>
    <row r="58" spans="1:15" hidden="1" x14ac:dyDescent="0.2">
      <c r="A58" s="693">
        <v>340.67571412786646</v>
      </c>
      <c r="B58" s="694">
        <v>327.31063889714937</v>
      </c>
      <c r="C58" s="694">
        <v>313.37607833717686</v>
      </c>
      <c r="D58" s="694">
        <v>298.79236705899427</v>
      </c>
      <c r="E58" s="694">
        <v>283.45932821384633</v>
      </c>
      <c r="F58" s="694">
        <v>267.24801756079205</v>
      </c>
      <c r="G58" s="694">
        <v>249.98762975175742</v>
      </c>
      <c r="H58" s="694">
        <v>231.44357231867568</v>
      </c>
      <c r="I58" s="694">
        <v>211.27810891419486</v>
      </c>
      <c r="J58" s="694">
        <v>188.97288547589758</v>
      </c>
      <c r="K58" s="694">
        <v>163.65531944857469</v>
      </c>
      <c r="L58" s="695">
        <v>2.7</v>
      </c>
    </row>
    <row r="59" spans="1:15" hidden="1" x14ac:dyDescent="0.2">
      <c r="A59" s="693">
        <v>351.79645695549118</v>
      </c>
      <c r="B59" s="694">
        <v>337.99510300472161</v>
      </c>
      <c r="C59" s="694">
        <v>323.60567390561624</v>
      </c>
      <c r="D59" s="694">
        <v>308.5459037366137</v>
      </c>
      <c r="E59" s="694">
        <v>292.71234555682702</v>
      </c>
      <c r="F59" s="694">
        <v>275.97184597366982</v>
      </c>
      <c r="G59" s="694">
        <v>258.14802400725551</v>
      </c>
      <c r="H59" s="694">
        <v>238.99862934248429</v>
      </c>
      <c r="I59" s="694">
        <v>218.17490083949122</v>
      </c>
      <c r="J59" s="694">
        <v>195.14156370455134</v>
      </c>
      <c r="K59" s="694">
        <v>168.99755150236081</v>
      </c>
      <c r="L59" s="695">
        <v>2.8</v>
      </c>
    </row>
    <row r="60" spans="1:15" hidden="1" x14ac:dyDescent="0.2">
      <c r="A60" s="693">
        <v>362.85636670333184</v>
      </c>
      <c r="B60" s="694">
        <v>348.6211205797573</v>
      </c>
      <c r="C60" s="694">
        <v>333.77931117945064</v>
      </c>
      <c r="D60" s="694">
        <v>318.24608627376932</v>
      </c>
      <c r="E60" s="694">
        <v>301.91474671786784</v>
      </c>
      <c r="F60" s="694">
        <v>284.6479529925644</v>
      </c>
      <c r="G60" s="694">
        <v>266.2637789861775</v>
      </c>
      <c r="H60" s="694">
        <v>246.51235842679947</v>
      </c>
      <c r="I60" s="694">
        <v>225.03396569026134</v>
      </c>
      <c r="J60" s="694">
        <v>201.2764978119119</v>
      </c>
      <c r="K60" s="694">
        <v>174.31056028987865</v>
      </c>
      <c r="L60" s="695">
        <v>2.9</v>
      </c>
    </row>
    <row r="61" spans="1:15" hidden="1" x14ac:dyDescent="0.2">
      <c r="A61" s="693">
        <v>373.85621020532864</v>
      </c>
      <c r="B61" s="694">
        <v>359.18942837247505</v>
      </c>
      <c r="C61" s="694">
        <v>343.89769554331122</v>
      </c>
      <c r="D61" s="694">
        <v>327.89358722831793</v>
      </c>
      <c r="E61" s="694">
        <v>311.06716974137447</v>
      </c>
      <c r="F61" s="694">
        <v>293.27694017151032</v>
      </c>
      <c r="G61" s="694">
        <v>274.33545739079767</v>
      </c>
      <c r="H61" s="694">
        <v>253.98528053269681</v>
      </c>
      <c r="I61" s="694">
        <v>231.85577903672635</v>
      </c>
      <c r="J61" s="694">
        <v>207.37811316091631</v>
      </c>
      <c r="K61" s="694">
        <v>179.59471418623752</v>
      </c>
      <c r="L61" s="695">
        <v>3</v>
      </c>
    </row>
    <row r="62" spans="1:15" hidden="1" x14ac:dyDescent="0.2">
      <c r="A62" s="693">
        <v>384.79673994648954</v>
      </c>
      <c r="B62" s="694">
        <v>369.70074934708555</v>
      </c>
      <c r="C62" s="694">
        <v>353.96151918273102</v>
      </c>
      <c r="D62" s="694">
        <v>337.48906657327018</v>
      </c>
      <c r="E62" s="694">
        <v>320.17024073271932</v>
      </c>
      <c r="F62" s="694">
        <v>301.85939780831364</v>
      </c>
      <c r="G62" s="694">
        <v>282.3636113941526</v>
      </c>
      <c r="H62" s="694">
        <v>261.4179068730723</v>
      </c>
      <c r="I62" s="694">
        <v>238.64080755027749</v>
      </c>
      <c r="J62" s="694">
        <v>213.44682715514622</v>
      </c>
      <c r="K62" s="694">
        <v>184.85037467354277</v>
      </c>
      <c r="L62" s="695">
        <v>3.1</v>
      </c>
    </row>
    <row r="63" spans="1:15" hidden="1" x14ac:dyDescent="0.2">
      <c r="A63" s="693">
        <v>395.67869441439871</v>
      </c>
      <c r="B63" s="694">
        <v>380.15579301950947</v>
      </c>
      <c r="C63" s="694">
        <v>363.97146140748606</v>
      </c>
      <c r="D63" s="694">
        <v>347.03317200508388</v>
      </c>
      <c r="E63" s="694">
        <v>329.2245741507142</v>
      </c>
      <c r="F63" s="694">
        <v>310.39590522029783</v>
      </c>
      <c r="G63" s="694">
        <v>290.34878289797786</v>
      </c>
      <c r="H63" s="694">
        <v>268.81073915144469</v>
      </c>
      <c r="I63" s="694">
        <v>245.38950922147237</v>
      </c>
      <c r="J63" s="694">
        <v>219.48304943380944</v>
      </c>
      <c r="K63" s="694">
        <v>190.07789650975474</v>
      </c>
      <c r="L63" s="695">
        <v>3.2</v>
      </c>
    </row>
    <row r="64" spans="1:15" hidden="1" x14ac:dyDescent="0.2">
      <c r="A64" s="693">
        <v>406.50279844013954</v>
      </c>
      <c r="B64" s="694">
        <v>390.55525578492603</v>
      </c>
      <c r="C64" s="694">
        <v>373.92818896519861</v>
      </c>
      <c r="D64" s="694">
        <v>356.52653924267338</v>
      </c>
      <c r="E64" s="694">
        <v>338.23077309127535</v>
      </c>
      <c r="F64" s="694">
        <v>318.88703101174565</v>
      </c>
      <c r="G64" s="694">
        <v>298.29150378287721</v>
      </c>
      <c r="H64" s="694">
        <v>276.16426979356777</v>
      </c>
      <c r="I64" s="694">
        <v>252.10233357146609</v>
      </c>
      <c r="J64" s="694">
        <v>225.48718206085022</v>
      </c>
      <c r="K64" s="694">
        <v>195.27762789246302</v>
      </c>
      <c r="L64" s="695">
        <v>3.3</v>
      </c>
    </row>
    <row r="65" spans="1:15" hidden="1" x14ac:dyDescent="0.2">
      <c r="A65" s="693">
        <v>417.26976352900954</v>
      </c>
      <c r="B65" s="694">
        <v>400.89982123551346</v>
      </c>
      <c r="C65" s="694">
        <v>383.83235634555064</v>
      </c>
      <c r="D65" s="694">
        <v>365.96979231746559</v>
      </c>
      <c r="E65" s="694">
        <v>347.18942956259485</v>
      </c>
      <c r="F65" s="694">
        <v>327.33333333333337</v>
      </c>
      <c r="G65" s="694">
        <v>306.19229615100085</v>
      </c>
      <c r="H65" s="694">
        <v>283.47898217210621</v>
      </c>
      <c r="I65" s="694">
        <v>258.77972185711241</v>
      </c>
      <c r="J65" s="694">
        <v>231.45961970839656</v>
      </c>
      <c r="K65" s="694">
        <v>200.44991061775673</v>
      </c>
      <c r="L65" s="695">
        <v>3.4</v>
      </c>
    </row>
    <row r="66" spans="1:15" hidden="1" x14ac:dyDescent="0.2">
      <c r="A66" s="693">
        <v>427.98028818138721</v>
      </c>
      <c r="B66" s="694">
        <v>411.1901604687281</v>
      </c>
      <c r="C66" s="694">
        <v>393.68460607543892</v>
      </c>
      <c r="D66" s="694">
        <v>375.36354385481906</v>
      </c>
      <c r="E66" s="694">
        <v>356.10112475211838</v>
      </c>
      <c r="F66" s="694">
        <v>335.73536013383955</v>
      </c>
      <c r="G66" s="694">
        <v>314.05167256149753</v>
      </c>
      <c r="H66" s="694">
        <v>290.75535082462227</v>
      </c>
      <c r="I66" s="694">
        <v>265.42210726995654</v>
      </c>
      <c r="J66" s="694">
        <v>237.4007498347456</v>
      </c>
      <c r="K66" s="694">
        <v>205.59508023436405</v>
      </c>
      <c r="L66" s="695">
        <v>3.5</v>
      </c>
    </row>
    <row r="67" spans="1:15" hidden="1" x14ac:dyDescent="0.2">
      <c r="A67" s="693">
        <v>438.63505820410012</v>
      </c>
      <c r="B67" s="694">
        <v>421.42693238645694</v>
      </c>
      <c r="C67" s="694">
        <v>403.48556900539137</v>
      </c>
      <c r="D67" s="694">
        <v>384.7083953471116</v>
      </c>
      <c r="E67" s="694">
        <v>364.96642928561874</v>
      </c>
      <c r="F67" s="694">
        <v>344.09364940440213</v>
      </c>
      <c r="G67" s="694">
        <v>321.87013625899601</v>
      </c>
      <c r="H67" s="694">
        <v>297.99384166510833</v>
      </c>
      <c r="I67" s="694">
        <v>272.02991512933784</v>
      </c>
      <c r="J67" s="694">
        <v>243.31095285707914</v>
      </c>
      <c r="K67" s="694">
        <v>210.71346619322847</v>
      </c>
      <c r="L67" s="695">
        <v>3.6</v>
      </c>
    </row>
    <row r="68" spans="1:15" hidden="1" x14ac:dyDescent="0.2">
      <c r="A68" s="693">
        <v>449.23474701262512</v>
      </c>
      <c r="B68" s="694">
        <v>431.61078398536222</v>
      </c>
      <c r="C68" s="694">
        <v>413.23586458755096</v>
      </c>
      <c r="D68" s="694">
        <v>394.00493741878739</v>
      </c>
      <c r="E68" s="694">
        <v>373.7859034786415</v>
      </c>
      <c r="F68" s="694">
        <v>352.40872941558365</v>
      </c>
      <c r="G68" s="694">
        <v>329.64818139535942</v>
      </c>
      <c r="H68" s="694">
        <v>305.19491218929176</v>
      </c>
      <c r="I68" s="694">
        <v>278.60356306980583</v>
      </c>
      <c r="J68" s="694">
        <v>249.19060231909432</v>
      </c>
      <c r="K68" s="694">
        <v>215.80539199268111</v>
      </c>
      <c r="L68" s="695">
        <v>3.7</v>
      </c>
    </row>
    <row r="69" spans="1:15" hidden="1" x14ac:dyDescent="0.2">
      <c r="A69" s="693">
        <v>459.78001592444002</v>
      </c>
      <c r="B69" s="694">
        <v>441.74235063872482</v>
      </c>
      <c r="C69" s="694">
        <v>422.93610114552047</v>
      </c>
      <c r="D69" s="694">
        <v>403.25375008364375</v>
      </c>
      <c r="E69" s="694">
        <v>382.56009758058877</v>
      </c>
      <c r="F69" s="694">
        <v>360.68111894749558</v>
      </c>
      <c r="G69" s="694">
        <v>337.38629324494684</v>
      </c>
      <c r="H69" s="694">
        <v>312.35901167392791</v>
      </c>
      <c r="I69" s="694">
        <v>285.14346122304983</v>
      </c>
      <c r="J69" s="694">
        <v>255.04006505372584</v>
      </c>
      <c r="K69" s="694">
        <v>220.87117531936241</v>
      </c>
      <c r="L69" s="695">
        <v>3.8</v>
      </c>
    </row>
    <row r="70" spans="1:15" hidden="1" x14ac:dyDescent="0.2">
      <c r="A70" s="693">
        <v>470.90830757838773</v>
      </c>
      <c r="B70" s="694">
        <v>452.43406742403209</v>
      </c>
      <c r="C70" s="694">
        <v>433.17264062422714</v>
      </c>
      <c r="D70" s="694">
        <v>413.01390751992608</v>
      </c>
      <c r="E70" s="694">
        <v>391.81939592673336</v>
      </c>
      <c r="F70" s="694">
        <v>369.41086914694654</v>
      </c>
      <c r="G70" s="694">
        <v>345.55222682456355</v>
      </c>
      <c r="H70" s="694">
        <v>319.91919711534473</v>
      </c>
      <c r="I70" s="694">
        <v>292.04493473169333</v>
      </c>
      <c r="J70" s="694">
        <v>261.21293061782222</v>
      </c>
      <c r="K70" s="694">
        <v>226.21703371201605</v>
      </c>
      <c r="L70" s="695">
        <v>3.9</v>
      </c>
    </row>
    <row r="71" spans="1:15" ht="13.5" hidden="1" thickBot="1" x14ac:dyDescent="0.25">
      <c r="A71" s="699">
        <v>482</v>
      </c>
      <c r="B71" s="700">
        <v>463</v>
      </c>
      <c r="C71" s="700">
        <v>443</v>
      </c>
      <c r="D71" s="700">
        <v>423</v>
      </c>
      <c r="E71" s="700">
        <v>401</v>
      </c>
      <c r="F71" s="700">
        <v>378</v>
      </c>
      <c r="G71" s="700">
        <v>354</v>
      </c>
      <c r="H71" s="700">
        <v>327</v>
      </c>
      <c r="I71" s="700">
        <v>299</v>
      </c>
      <c r="J71" s="700">
        <v>267</v>
      </c>
      <c r="K71" s="700">
        <v>232</v>
      </c>
      <c r="L71" s="701">
        <v>4</v>
      </c>
    </row>
    <row r="72" spans="1:15" hidden="1" x14ac:dyDescent="0.2"/>
    <row r="73" spans="1:15" ht="13.5" hidden="1" thickTop="1" x14ac:dyDescent="0.2">
      <c r="A73" s="956" t="s">
        <v>799</v>
      </c>
      <c r="B73" s="957"/>
      <c r="C73" s="957"/>
      <c r="D73" s="957"/>
      <c r="E73" s="957"/>
      <c r="F73" s="957"/>
      <c r="G73" s="957"/>
      <c r="H73" s="957"/>
      <c r="I73" s="957"/>
      <c r="J73" s="957"/>
      <c r="K73" s="957"/>
      <c r="L73" s="958"/>
      <c r="M73" s="606" t="s">
        <v>789</v>
      </c>
      <c r="N73" s="888" t="s">
        <v>790</v>
      </c>
      <c r="O73" s="895"/>
    </row>
    <row r="74" spans="1:15" hidden="1" x14ac:dyDescent="0.2">
      <c r="A74" s="959" t="s">
        <v>789</v>
      </c>
      <c r="B74" s="960"/>
      <c r="C74" s="960"/>
      <c r="D74" s="960"/>
      <c r="E74" s="960"/>
      <c r="F74" s="960"/>
      <c r="G74" s="960"/>
      <c r="H74" s="960"/>
      <c r="I74" s="960"/>
      <c r="J74" s="960"/>
      <c r="K74" s="960"/>
      <c r="L74" s="961" t="s">
        <v>791</v>
      </c>
      <c r="M74" s="690">
        <v>5</v>
      </c>
      <c r="N74" s="963">
        <f>IF($C$5&lt;93,N47,(IF($C$5&gt;786,N47,(VLOOKUP($C$5,$A$76:$L$112,12)))))</f>
        <v>0.4</v>
      </c>
      <c r="O74" s="964"/>
    </row>
    <row r="75" spans="1:15" hidden="1" x14ac:dyDescent="0.2">
      <c r="A75" s="691">
        <v>5</v>
      </c>
      <c r="B75" s="692">
        <v>6</v>
      </c>
      <c r="C75" s="692">
        <v>7</v>
      </c>
      <c r="D75" s="692">
        <v>8</v>
      </c>
      <c r="E75" s="692">
        <v>9</v>
      </c>
      <c r="F75" s="692">
        <v>10</v>
      </c>
      <c r="G75" s="692">
        <v>11</v>
      </c>
      <c r="H75" s="692">
        <v>12</v>
      </c>
      <c r="I75" s="692">
        <v>13</v>
      </c>
      <c r="J75" s="692">
        <v>14</v>
      </c>
      <c r="K75" s="692">
        <v>15</v>
      </c>
      <c r="L75" s="962"/>
      <c r="M75" s="690">
        <v>6</v>
      </c>
      <c r="N75" s="963">
        <f>IF($C$5&lt;89,N47,(IF($C$5&gt;756,N47,(VLOOKUP($C$5,$B$76:$L$112,11)))))</f>
        <v>0.4</v>
      </c>
      <c r="O75" s="964"/>
    </row>
    <row r="76" spans="1:15" hidden="1" x14ac:dyDescent="0.2">
      <c r="A76" s="693">
        <v>93</v>
      </c>
      <c r="B76" s="694">
        <v>89</v>
      </c>
      <c r="C76" s="694">
        <v>86</v>
      </c>
      <c r="D76" s="694">
        <v>82</v>
      </c>
      <c r="E76" s="694">
        <v>77</v>
      </c>
      <c r="F76" s="694">
        <v>73</v>
      </c>
      <c r="G76" s="694">
        <v>68</v>
      </c>
      <c r="H76" s="694">
        <v>63</v>
      </c>
      <c r="I76" s="694">
        <v>58</v>
      </c>
      <c r="J76" s="694">
        <v>52</v>
      </c>
      <c r="K76" s="694">
        <v>45</v>
      </c>
      <c r="L76" s="695">
        <v>0.4</v>
      </c>
      <c r="M76" s="690">
        <v>7</v>
      </c>
      <c r="N76" s="963">
        <f>IF($C$5&lt;86,N47,(IF($C$5&gt;723,N47,(VLOOKUP($C$5,$C$76:$L$112,10)))))</f>
        <v>0.4</v>
      </c>
      <c r="O76" s="964"/>
    </row>
    <row r="77" spans="1:15" hidden="1" x14ac:dyDescent="0.2">
      <c r="A77" s="693">
        <v>120.0273192946055</v>
      </c>
      <c r="B77" s="694">
        <v>115.31851826891335</v>
      </c>
      <c r="C77" s="694">
        <v>110.40907541695215</v>
      </c>
      <c r="D77" s="694">
        <v>105.27092292325908</v>
      </c>
      <c r="E77" s="694">
        <v>99.868766347658863</v>
      </c>
      <c r="F77" s="694">
        <v>94.157175884219285</v>
      </c>
      <c r="G77" s="694">
        <v>88.075973166240573</v>
      </c>
      <c r="H77" s="694">
        <v>81.542506264333397</v>
      </c>
      <c r="I77" s="694">
        <v>74.437783460802876</v>
      </c>
      <c r="J77" s="694">
        <v>66.579177565105908</v>
      </c>
      <c r="K77" s="694">
        <v>57.659259134456676</v>
      </c>
      <c r="L77" s="695">
        <v>0.5</v>
      </c>
      <c r="M77" s="690">
        <v>8</v>
      </c>
      <c r="N77" s="963">
        <f>IF($C$5&lt;82,N47,(IF($C$5&gt;690,N47,(VLOOKUP($C$5,$D$76:$L$112,9)))))</f>
        <v>0.4</v>
      </c>
      <c r="O77" s="964"/>
    </row>
    <row r="78" spans="1:15" hidden="1" x14ac:dyDescent="0.2">
      <c r="A78" s="693">
        <v>146.52975036468015</v>
      </c>
      <c r="B78" s="694">
        <v>140.78123042049916</v>
      </c>
      <c r="C78" s="694">
        <v>134.78776626787712</v>
      </c>
      <c r="D78" s="694">
        <v>128.51509262439981</v>
      </c>
      <c r="E78" s="694">
        <v>121.92012192018286</v>
      </c>
      <c r="F78" s="694">
        <v>114.94739329713595</v>
      </c>
      <c r="G78" s="694">
        <v>107.52344080515954</v>
      </c>
      <c r="H78" s="694">
        <v>99.547362694120807</v>
      </c>
      <c r="I78" s="694">
        <v>90.873893479530381</v>
      </c>
      <c r="J78" s="694">
        <v>81.280081280121919</v>
      </c>
      <c r="K78" s="694">
        <v>70.390615210249578</v>
      </c>
      <c r="L78" s="695">
        <v>0.6</v>
      </c>
      <c r="M78" s="690">
        <v>9</v>
      </c>
      <c r="N78" s="963">
        <f>IF($C$5&lt;77,N47,(IF($C$5&gt;654,N47,(VLOOKUP($C$5,$E$76:$L$112,8)))))</f>
        <v>0.5</v>
      </c>
      <c r="O78" s="964"/>
    </row>
    <row r="79" spans="1:15" hidden="1" x14ac:dyDescent="0.2">
      <c r="A79" s="693">
        <v>167.88744523494282</v>
      </c>
      <c r="B79" s="694">
        <v>161.30103991514437</v>
      </c>
      <c r="C79" s="694">
        <v>154.43398812404635</v>
      </c>
      <c r="D79" s="694">
        <v>147.2470301842763</v>
      </c>
      <c r="E79" s="694">
        <v>139.69079822336278</v>
      </c>
      <c r="F79" s="694">
        <v>131.70174759080206</v>
      </c>
      <c r="G79" s="694">
        <v>123.19570418104043</v>
      </c>
      <c r="H79" s="694">
        <v>114.05705913644057</v>
      </c>
      <c r="I79" s="694">
        <v>104.11937355288201</v>
      </c>
      <c r="J79" s="694">
        <v>93.127198815575184</v>
      </c>
      <c r="K79" s="694">
        <v>80.650519957572186</v>
      </c>
      <c r="L79" s="695">
        <v>0.7</v>
      </c>
      <c r="M79" s="690">
        <v>10</v>
      </c>
      <c r="N79" s="963">
        <f>IF($C$5&lt;73,N47,(IF($C$5&gt;617,N47,(VLOOKUP($C$5,$F$76:$L$112,7)))))</f>
        <v>0.5</v>
      </c>
      <c r="O79" s="964"/>
    </row>
    <row r="80" spans="1:15" hidden="1" x14ac:dyDescent="0.2">
      <c r="A80" s="693">
        <v>188.98154713419166</v>
      </c>
      <c r="B80" s="694">
        <v>181.56759747496298</v>
      </c>
      <c r="C80" s="694">
        <v>173.83773971272083</v>
      </c>
      <c r="D80" s="694">
        <v>165.74778141509213</v>
      </c>
      <c r="E80" s="694">
        <v>157.24215191742525</v>
      </c>
      <c r="F80" s="694">
        <v>148.24932254556893</v>
      </c>
      <c r="G80" s="694">
        <v>138.67454319671512</v>
      </c>
      <c r="H80" s="694">
        <v>128.38767941829579</v>
      </c>
      <c r="I80" s="694">
        <v>117.20138020523727</v>
      </c>
      <c r="J80" s="694">
        <v>104.8281012782835</v>
      </c>
      <c r="K80" s="694">
        <v>90.78379873748149</v>
      </c>
      <c r="L80" s="695">
        <v>0.8</v>
      </c>
      <c r="M80" s="690">
        <v>11</v>
      </c>
      <c r="N80" s="963">
        <f>IF($C$5&lt;68,N47,(IF($C$5&gt;577,N47,(VLOOKUP($C$5,$G$76:$L$112,6)))))</f>
        <v>0.5</v>
      </c>
      <c r="O80" s="964"/>
    </row>
    <row r="81" spans="1:15" hidden="1" x14ac:dyDescent="0.2">
      <c r="A81" s="693">
        <v>209.81939142661128</v>
      </c>
      <c r="B81" s="694">
        <v>201.58795068990116</v>
      </c>
      <c r="C81" s="694">
        <v>193.00576858755937</v>
      </c>
      <c r="D81" s="694">
        <v>184.02377985682998</v>
      </c>
      <c r="E81" s="694">
        <v>174.58028639429918</v>
      </c>
      <c r="F81" s="694">
        <v>164.59587249453133</v>
      </c>
      <c r="G81" s="694">
        <v>153.96534053791623</v>
      </c>
      <c r="H81" s="694">
        <v>142.54420693832844</v>
      </c>
      <c r="I81" s="694">
        <v>130.12446263634487</v>
      </c>
      <c r="J81" s="694">
        <v>116.38685759619945</v>
      </c>
      <c r="K81" s="694">
        <v>100.79397534495058</v>
      </c>
      <c r="L81" s="695">
        <v>0.9</v>
      </c>
      <c r="M81" s="690">
        <v>12</v>
      </c>
      <c r="N81" s="963">
        <f>IF($C$5&lt;63,N47,(IF($C$5&gt;534,N47,(VLOOKUP($C$5,$H$76:$L$112,5)))))</f>
        <v>0.6</v>
      </c>
      <c r="O81" s="964"/>
    </row>
    <row r="82" spans="1:15" hidden="1" x14ac:dyDescent="0.2">
      <c r="A82" s="693">
        <v>230.40801366431728</v>
      </c>
      <c r="B82" s="694">
        <v>221.36885909978648</v>
      </c>
      <c r="C82" s="694">
        <v>211.94454651522889</v>
      </c>
      <c r="D82" s="694">
        <v>202.08119609689302</v>
      </c>
      <c r="E82" s="694">
        <v>191.71105558719307</v>
      </c>
      <c r="F82" s="694">
        <v>180.74691657884722</v>
      </c>
      <c r="G82" s="694">
        <v>169.07325888846424</v>
      </c>
      <c r="H82" s="694">
        <v>156.53142141298838</v>
      </c>
      <c r="I82" s="694">
        <v>142.89298411040156</v>
      </c>
      <c r="J82" s="694">
        <v>127.80737039146206</v>
      </c>
      <c r="K82" s="694">
        <v>110.68442954989324</v>
      </c>
      <c r="L82" s="695">
        <v>1</v>
      </c>
      <c r="M82" s="690">
        <v>13</v>
      </c>
      <c r="N82" s="963">
        <f>IF($C$5&lt;58,N47,(IF($C$5&gt;488,N47,(VLOOKUP($C$5,$I$76:$L$112,4)))))</f>
        <v>0.6</v>
      </c>
      <c r="O82" s="964"/>
    </row>
    <row r="83" spans="1:15" hidden="1" x14ac:dyDescent="0.2">
      <c r="A83" s="693">
        <v>250.31035281680369</v>
      </c>
      <c r="B83" s="694">
        <v>240.49040804912858</v>
      </c>
      <c r="C83" s="694">
        <v>230.25203582161873</v>
      </c>
      <c r="D83" s="694">
        <v>219.53670225354949</v>
      </c>
      <c r="E83" s="694">
        <v>208.27080273703098</v>
      </c>
      <c r="F83" s="694">
        <v>196.3595959180272</v>
      </c>
      <c r="G83" s="694">
        <v>183.67758313265816</v>
      </c>
      <c r="H83" s="694">
        <v>170.05239834185869</v>
      </c>
      <c r="I83" s="694">
        <v>155.23589088281688</v>
      </c>
      <c r="J83" s="694">
        <v>138.84720182468732</v>
      </c>
      <c r="K83" s="694">
        <v>120.24520402456429</v>
      </c>
      <c r="L83" s="695">
        <v>1.1000000000000001</v>
      </c>
      <c r="M83" s="690">
        <v>14</v>
      </c>
      <c r="N83" s="963">
        <f>IF($C$5&lt;52,N47,(IF($C$5&gt;436,"NOT POSSIBLE",(VLOOKUP($C$5,$J$76:$L$112,3)))))</f>
        <v>0.7</v>
      </c>
      <c r="O83" s="964"/>
    </row>
    <row r="84" spans="1:15" ht="13.5" hidden="1" thickBot="1" x14ac:dyDescent="0.25">
      <c r="A84" s="693">
        <v>269.98203533049673</v>
      </c>
      <c r="B84" s="694">
        <v>259.39034926807352</v>
      </c>
      <c r="C84" s="694">
        <v>248.34735187963796</v>
      </c>
      <c r="D84" s="694">
        <v>236.78990915544586</v>
      </c>
      <c r="E84" s="694">
        <v>224.6386319626699</v>
      </c>
      <c r="F84" s="694">
        <v>211.79133330303071</v>
      </c>
      <c r="G84" s="694">
        <v>198.11265167699668</v>
      </c>
      <c r="H84" s="694">
        <v>183.41667494180177</v>
      </c>
      <c r="I84" s="694">
        <v>167.43575048036232</v>
      </c>
      <c r="J84" s="694">
        <v>149.75908797511329</v>
      </c>
      <c r="K84" s="694">
        <v>129.69517463403676</v>
      </c>
      <c r="L84" s="695">
        <v>1.2</v>
      </c>
      <c r="M84" s="696">
        <v>15</v>
      </c>
      <c r="N84" s="967">
        <f>IF($C$5&lt;45,N47,(IF($C$5&gt;378,N47,(VLOOKUP($C$5,$K$76:$L$112,2)))))</f>
        <v>0.8</v>
      </c>
      <c r="O84" s="968"/>
    </row>
    <row r="85" spans="1:15" hidden="1" x14ac:dyDescent="0.2">
      <c r="A85" s="693">
        <v>290.29742754487012</v>
      </c>
      <c r="B85" s="694">
        <v>278.90874676275661</v>
      </c>
      <c r="C85" s="694">
        <v>267.03479474101101</v>
      </c>
      <c r="D85" s="694">
        <v>254.60768681242962</v>
      </c>
      <c r="E85" s="694">
        <v>241.54206003422806</v>
      </c>
      <c r="F85" s="694">
        <v>227.72803812262779</v>
      </c>
      <c r="G85" s="694">
        <v>213.02007400426697</v>
      </c>
      <c r="H85" s="694">
        <v>197.21826616818672</v>
      </c>
      <c r="I85" s="694">
        <v>180.0348218872897</v>
      </c>
      <c r="J85" s="694">
        <v>161.02804002281869</v>
      </c>
      <c r="K85" s="694">
        <v>139.4543733813783</v>
      </c>
      <c r="L85" s="695">
        <v>1.3</v>
      </c>
    </row>
    <row r="86" spans="1:15" hidden="1" x14ac:dyDescent="0.2">
      <c r="A86" s="693">
        <v>310.43849442929815</v>
      </c>
      <c r="B86" s="694">
        <v>298.25965789796606</v>
      </c>
      <c r="C86" s="694">
        <v>285.56188162164449</v>
      </c>
      <c r="D86" s="694">
        <v>272.2725710408165</v>
      </c>
      <c r="E86" s="694">
        <v>258.30044066369464</v>
      </c>
      <c r="F86" s="694">
        <v>243.52799090236257</v>
      </c>
      <c r="G86" s="694">
        <v>227.79957651151048</v>
      </c>
      <c r="H86" s="694">
        <v>210.90142665403158</v>
      </c>
      <c r="I86" s="694">
        <v>192.52578131405735</v>
      </c>
      <c r="J86" s="694">
        <v>172.20029377579641</v>
      </c>
      <c r="K86" s="694">
        <v>149.12982894898303</v>
      </c>
      <c r="L86" s="695">
        <v>1.4</v>
      </c>
    </row>
    <row r="87" spans="1:15" hidden="1" x14ac:dyDescent="0.2">
      <c r="A87" s="693">
        <v>329.92804448073787</v>
      </c>
      <c r="B87" s="694">
        <v>316.98461190733929</v>
      </c>
      <c r="C87" s="694">
        <v>303.48966018170916</v>
      </c>
      <c r="D87" s="694">
        <v>289.36603720611743</v>
      </c>
      <c r="E87" s="694">
        <v>274.51672652050712</v>
      </c>
      <c r="F87" s="694">
        <v>258.81685182904471</v>
      </c>
      <c r="G87" s="694">
        <v>242.10099636693045</v>
      </c>
      <c r="H87" s="694">
        <v>224.14196861146561</v>
      </c>
      <c r="I87" s="694">
        <v>204.6126871535244</v>
      </c>
      <c r="J87" s="694">
        <v>183.01115101367139</v>
      </c>
      <c r="K87" s="694">
        <v>158.49230595366964</v>
      </c>
      <c r="L87" s="695">
        <v>1.5</v>
      </c>
    </row>
    <row r="88" spans="1:15" hidden="1" x14ac:dyDescent="0.2">
      <c r="A88" s="693">
        <v>349.203362678178</v>
      </c>
      <c r="B88" s="694">
        <v>335.50373860910952</v>
      </c>
      <c r="C88" s="694">
        <v>321.2203740979582</v>
      </c>
      <c r="D88" s="694">
        <v>306.27160960587702</v>
      </c>
      <c r="E88" s="694">
        <v>290.55476070014282</v>
      </c>
      <c r="F88" s="694">
        <v>273.93765546280741</v>
      </c>
      <c r="G88" s="694">
        <v>256.2452130194871</v>
      </c>
      <c r="H88" s="694">
        <v>237.23696868394023</v>
      </c>
      <c r="I88" s="694">
        <v>216.5667320372346</v>
      </c>
      <c r="J88" s="694">
        <v>193.70317380009521</v>
      </c>
      <c r="K88" s="694">
        <v>167.75186930455476</v>
      </c>
      <c r="L88" s="695">
        <v>1.6</v>
      </c>
    </row>
    <row r="89" spans="1:15" hidden="1" x14ac:dyDescent="0.2">
      <c r="A89" s="693">
        <v>368.26985304134092</v>
      </c>
      <c r="B89" s="694">
        <v>353.82223001748406</v>
      </c>
      <c r="C89" s="694">
        <v>338.75899434553759</v>
      </c>
      <c r="D89" s="694">
        <v>322.99402787892927</v>
      </c>
      <c r="E89" s="694">
        <v>306.41903961880217</v>
      </c>
      <c r="F89" s="694">
        <v>288.89464106549923</v>
      </c>
      <c r="G89" s="694">
        <v>270.23619193553287</v>
      </c>
      <c r="H89" s="694">
        <v>250.1900981799094</v>
      </c>
      <c r="I89" s="694">
        <v>228.39126739594766</v>
      </c>
      <c r="J89" s="694">
        <v>204.27935974586813</v>
      </c>
      <c r="K89" s="694">
        <v>176.91111500874203</v>
      </c>
      <c r="L89" s="695">
        <v>1.7</v>
      </c>
    </row>
    <row r="90" spans="1:15" hidden="1" x14ac:dyDescent="0.2">
      <c r="A90" s="693">
        <v>387.13271829313749</v>
      </c>
      <c r="B90" s="694">
        <v>371.94508474694993</v>
      </c>
      <c r="C90" s="694">
        <v>356.11030673345834</v>
      </c>
      <c r="D90" s="694">
        <v>339.5378551151253</v>
      </c>
      <c r="E90" s="694">
        <v>322.11389220361457</v>
      </c>
      <c r="F90" s="694">
        <v>303.69188998875796</v>
      </c>
      <c r="G90" s="694">
        <v>284.07775086994383</v>
      </c>
      <c r="H90" s="694">
        <v>263.0048916535734</v>
      </c>
      <c r="I90" s="694">
        <v>240.0895198214406</v>
      </c>
      <c r="J90" s="694">
        <v>214.74259480240971</v>
      </c>
      <c r="K90" s="694">
        <v>185.97254237347497</v>
      </c>
      <c r="L90" s="695">
        <v>1.8</v>
      </c>
    </row>
    <row r="91" spans="1:15" hidden="1" x14ac:dyDescent="0.2">
      <c r="A91" s="693">
        <v>406.36175343136142</v>
      </c>
      <c r="B91" s="694">
        <v>390.41974412377158</v>
      </c>
      <c r="C91" s="694">
        <v>373.79844642739226</v>
      </c>
      <c r="D91" s="694">
        <v>356.40283458664129</v>
      </c>
      <c r="E91" s="694">
        <v>338.11341655020658</v>
      </c>
      <c r="F91" s="694">
        <v>318.77638620373722</v>
      </c>
      <c r="G91" s="694">
        <v>298.188005042079</v>
      </c>
      <c r="H91" s="694">
        <v>276.06844857903565</v>
      </c>
      <c r="I91" s="694">
        <v>252.01486117032147</v>
      </c>
      <c r="J91" s="694">
        <v>225.40894436680438</v>
      </c>
      <c r="K91" s="694">
        <v>195.20987206188579</v>
      </c>
      <c r="L91" s="695">
        <v>1.9</v>
      </c>
    </row>
    <row r="92" spans="1:15" hidden="1" x14ac:dyDescent="0.2">
      <c r="A92" s="693">
        <v>425.43783102387397</v>
      </c>
      <c r="B92" s="694">
        <v>408.74744664416136</v>
      </c>
      <c r="C92" s="694">
        <v>391.34588564330755</v>
      </c>
      <c r="D92" s="694">
        <v>373.13366141607753</v>
      </c>
      <c r="E92" s="694">
        <v>353.98567252586815</v>
      </c>
      <c r="F92" s="694">
        <v>333.74089264789592</v>
      </c>
      <c r="G92" s="694">
        <v>312.18601906113219</v>
      </c>
      <c r="H92" s="694">
        <v>289.02809131477301</v>
      </c>
      <c r="I92" s="694">
        <v>263.84534227627358</v>
      </c>
      <c r="J92" s="694">
        <v>235.99044835057876</v>
      </c>
      <c r="K92" s="694">
        <v>204.37372332208068</v>
      </c>
      <c r="L92" s="695">
        <v>2</v>
      </c>
    </row>
    <row r="93" spans="1:15" hidden="1" x14ac:dyDescent="0.2">
      <c r="A93" s="693">
        <v>444.36374400518019</v>
      </c>
      <c r="B93" s="694">
        <v>426.93087567279508</v>
      </c>
      <c r="C93" s="694">
        <v>408.75519350728507</v>
      </c>
      <c r="D93" s="694">
        <v>389.73278516903918</v>
      </c>
      <c r="E93" s="694">
        <v>369.73298399257646</v>
      </c>
      <c r="F93" s="694">
        <v>348.58760027931737</v>
      </c>
      <c r="G93" s="694">
        <v>326.07384238072746</v>
      </c>
      <c r="H93" s="694">
        <v>301.88571728614426</v>
      </c>
      <c r="I93" s="694">
        <v>275.58269524374748</v>
      </c>
      <c r="J93" s="694">
        <v>246.48865599505095</v>
      </c>
      <c r="K93" s="694">
        <v>213.46543783639754</v>
      </c>
      <c r="L93" s="695">
        <v>2.1</v>
      </c>
    </row>
    <row r="94" spans="1:15" hidden="1" x14ac:dyDescent="0.2">
      <c r="A94" s="693">
        <v>463.14220982516724</v>
      </c>
      <c r="B94" s="694">
        <v>444.97264205107382</v>
      </c>
      <c r="C94" s="694">
        <v>426.02886970965602</v>
      </c>
      <c r="D94" s="694">
        <v>406.20258920674166</v>
      </c>
      <c r="E94" s="694">
        <v>385.35761200530976</v>
      </c>
      <c r="F94" s="694">
        <v>363.31864084107872</v>
      </c>
      <c r="G94" s="694">
        <v>339.85346906392266</v>
      </c>
      <c r="H94" s="694">
        <v>314.64317263680857</v>
      </c>
      <c r="I94" s="694">
        <v>287.22860536362055</v>
      </c>
      <c r="J94" s="694">
        <v>256.90507467020649</v>
      </c>
      <c r="K94" s="694">
        <v>222.48632102553691</v>
      </c>
      <c r="L94" s="695">
        <v>2.2000000000000002</v>
      </c>
    </row>
    <row r="95" spans="1:15" hidden="1" x14ac:dyDescent="0.2">
      <c r="A95" s="693">
        <v>481.35730154638924</v>
      </c>
      <c r="B95" s="694">
        <v>462.47313610333157</v>
      </c>
      <c r="C95" s="694">
        <v>442.78431711441601</v>
      </c>
      <c r="D95" s="694">
        <v>422.17828147325258</v>
      </c>
      <c r="E95" s="694">
        <v>400.51348443334336</v>
      </c>
      <c r="F95" s="694">
        <v>377.60773439929312</v>
      </c>
      <c r="G95" s="694">
        <v>353.21969217952193</v>
      </c>
      <c r="H95" s="694">
        <v>327.01789065527487</v>
      </c>
      <c r="I95" s="694">
        <v>298.5251256994199</v>
      </c>
      <c r="J95" s="694">
        <v>267.00898962222891</v>
      </c>
      <c r="K95" s="694">
        <v>231.23656805166578</v>
      </c>
      <c r="L95" s="695">
        <v>2.2999999999999998</v>
      </c>
    </row>
    <row r="96" spans="1:15" hidden="1" x14ac:dyDescent="0.2">
      <c r="A96" s="693">
        <v>499.43352937841451</v>
      </c>
      <c r="B96" s="694">
        <v>479.84021404634552</v>
      </c>
      <c r="C96" s="694">
        <v>459.41202831957486</v>
      </c>
      <c r="D96" s="694">
        <v>438.03218205215126</v>
      </c>
      <c r="E96" s="694">
        <v>415.55381512149791</v>
      </c>
      <c r="F96" s="694">
        <v>391.78789416046942</v>
      </c>
      <c r="G96" s="694">
        <v>366.48401705853189</v>
      </c>
      <c r="H96" s="694">
        <v>339.29826923817541</v>
      </c>
      <c r="I96" s="694">
        <v>309.73552630701647</v>
      </c>
      <c r="J96" s="694">
        <v>277.03587674766527</v>
      </c>
      <c r="K96" s="694">
        <v>239.92010702317276</v>
      </c>
      <c r="L96" s="695">
        <v>2.4</v>
      </c>
    </row>
    <row r="97" spans="1:12" hidden="1" x14ac:dyDescent="0.2">
      <c r="A97" s="693">
        <v>517.78856688806854</v>
      </c>
      <c r="B97" s="694">
        <v>497.47516366300977</v>
      </c>
      <c r="C97" s="694">
        <v>476.29620712648642</v>
      </c>
      <c r="D97" s="694">
        <v>454.13061489467469</v>
      </c>
      <c r="E97" s="694">
        <v>430.82612948398776</v>
      </c>
      <c r="F97" s="694">
        <v>406.18677022730844</v>
      </c>
      <c r="G97" s="694">
        <v>379.95293230771455</v>
      </c>
      <c r="H97" s="694">
        <v>351.76806169800176</v>
      </c>
      <c r="I97" s="694">
        <v>321.118837336441</v>
      </c>
      <c r="J97" s="694">
        <v>287.21741965599182</v>
      </c>
      <c r="K97" s="694">
        <v>248.73758183150488</v>
      </c>
      <c r="L97" s="695">
        <v>2.5</v>
      </c>
    </row>
    <row r="98" spans="1:12" hidden="1" x14ac:dyDescent="0.2">
      <c r="A98" s="693">
        <v>536.00628433079521</v>
      </c>
      <c r="B98" s="694">
        <v>514.97818042688903</v>
      </c>
      <c r="C98" s="694">
        <v>493.05406984373803</v>
      </c>
      <c r="D98" s="694">
        <v>470.10861007128761</v>
      </c>
      <c r="E98" s="694">
        <v>445.98418664437213</v>
      </c>
      <c r="F98" s="694">
        <v>420.47792357093653</v>
      </c>
      <c r="G98" s="694">
        <v>393.32108217614086</v>
      </c>
      <c r="H98" s="694">
        <v>364.1445635429626</v>
      </c>
      <c r="I98" s="694">
        <v>332.41698607558993</v>
      </c>
      <c r="J98" s="694">
        <v>297.32279109624807</v>
      </c>
      <c r="K98" s="694">
        <v>257.48909021344451</v>
      </c>
      <c r="L98" s="695">
        <v>2.6</v>
      </c>
    </row>
    <row r="99" spans="1:12" hidden="1" x14ac:dyDescent="0.2">
      <c r="A99" s="693">
        <v>554.08906024579937</v>
      </c>
      <c r="B99" s="694">
        <v>532.35154956453334</v>
      </c>
      <c r="C99" s="694">
        <v>509.68780440917607</v>
      </c>
      <c r="D99" s="694">
        <v>485.96825369887409</v>
      </c>
      <c r="E99" s="694">
        <v>461.0299656668966</v>
      </c>
      <c r="F99" s="694">
        <v>434.66322007101843</v>
      </c>
      <c r="G99" s="694">
        <v>406.5902120344183</v>
      </c>
      <c r="H99" s="694">
        <v>376.42939067224796</v>
      </c>
      <c r="I99" s="694">
        <v>343.63144763185835</v>
      </c>
      <c r="J99" s="694">
        <v>307.35331044459775</v>
      </c>
      <c r="K99" s="694">
        <v>266.17577478226667</v>
      </c>
      <c r="L99" s="695">
        <v>2.7</v>
      </c>
    </row>
    <row r="100" spans="1:12" hidden="1" x14ac:dyDescent="0.2">
      <c r="A100" s="693">
        <v>572.03921203325467</v>
      </c>
      <c r="B100" s="694">
        <v>549.59749756201109</v>
      </c>
      <c r="C100" s="694">
        <v>526.19954252091748</v>
      </c>
      <c r="D100" s="694">
        <v>501.7115782718401</v>
      </c>
      <c r="E100" s="694">
        <v>475.96539474505778</v>
      </c>
      <c r="F100" s="694">
        <v>448.74447764581635</v>
      </c>
      <c r="G100" s="694">
        <v>419.76202238937066</v>
      </c>
      <c r="H100" s="694">
        <v>388.6241174492551</v>
      </c>
      <c r="I100" s="694">
        <v>354.76365919582349</v>
      </c>
      <c r="J100" s="694">
        <v>317.31026316337181</v>
      </c>
      <c r="K100" s="694">
        <v>274.79874878100554</v>
      </c>
      <c r="L100" s="695">
        <v>2.8</v>
      </c>
    </row>
    <row r="101" spans="1:12" hidden="1" x14ac:dyDescent="0.2">
      <c r="A101" s="693">
        <v>589.85899800895947</v>
      </c>
      <c r="B101" s="694">
        <v>566.71819413895946</v>
      </c>
      <c r="C101" s="694">
        <v>542.59136152735903</v>
      </c>
      <c r="D101" s="694">
        <v>517.34056446416696</v>
      </c>
      <c r="E101" s="694">
        <v>490.79235291118033</v>
      </c>
      <c r="F101" s="694">
        <v>462.72346786399578</v>
      </c>
      <c r="G101" s="694">
        <v>432.83817039174357</v>
      </c>
      <c r="H101" s="694">
        <v>400.73027809745258</v>
      </c>
      <c r="I101" s="694">
        <v>365.81502131548871</v>
      </c>
      <c r="J101" s="694">
        <v>327.19490194078691</v>
      </c>
      <c r="K101" s="694">
        <v>283.35909706947973</v>
      </c>
      <c r="L101" s="695">
        <v>2.9</v>
      </c>
    </row>
    <row r="102" spans="1:12" hidden="1" x14ac:dyDescent="0.2">
      <c r="A102" s="693">
        <v>607.55061937425489</v>
      </c>
      <c r="B102" s="694">
        <v>583.7157541412198</v>
      </c>
      <c r="C102" s="694">
        <v>558.86528623923789</v>
      </c>
      <c r="D102" s="694">
        <v>532.85714285714289</v>
      </c>
      <c r="E102" s="694">
        <v>505.51267167548809</v>
      </c>
      <c r="F102" s="694">
        <v>476.60191748995516</v>
      </c>
      <c r="G102" s="694">
        <v>445.82027128172888</v>
      </c>
      <c r="H102" s="694">
        <v>412.74936803867604</v>
      </c>
      <c r="I102" s="694">
        <v>376.7868991179746</v>
      </c>
      <c r="J102" s="694">
        <v>337.00844778365871</v>
      </c>
      <c r="K102" s="694">
        <v>291.8578770706099</v>
      </c>
      <c r="L102" s="695">
        <v>3</v>
      </c>
    </row>
    <row r="103" spans="1:12" hidden="1" x14ac:dyDescent="0.2">
      <c r="A103" s="693">
        <v>625.90901408162301</v>
      </c>
      <c r="B103" s="694">
        <v>601.35392924911548</v>
      </c>
      <c r="C103" s="694">
        <v>575.75255321889017</v>
      </c>
      <c r="D103" s="694">
        <v>548.95852015684375</v>
      </c>
      <c r="E103" s="694">
        <v>520.78777939532404</v>
      </c>
      <c r="F103" s="694">
        <v>491.00342715935648</v>
      </c>
      <c r="G103" s="694">
        <v>459.29165004053181</v>
      </c>
      <c r="H103" s="694">
        <v>425.22144126522488</v>
      </c>
      <c r="I103" s="694">
        <v>388.17229219303624</v>
      </c>
      <c r="J103" s="694">
        <v>347.19185293021599</v>
      </c>
      <c r="K103" s="694">
        <v>300.67696462455774</v>
      </c>
      <c r="L103" s="695">
        <v>3.1</v>
      </c>
    </row>
    <row r="104" spans="1:12" hidden="1" x14ac:dyDescent="0.2">
      <c r="A104" s="693">
        <v>644.17847611582692</v>
      </c>
      <c r="B104" s="694">
        <v>618.90666060841068</v>
      </c>
      <c r="C104" s="694">
        <v>592.55801403744431</v>
      </c>
      <c r="D104" s="694">
        <v>564.98189834236769</v>
      </c>
      <c r="E104" s="694">
        <v>535.98889065827746</v>
      </c>
      <c r="F104" s="694">
        <v>505.33517230016389</v>
      </c>
      <c r="G104" s="694">
        <v>472.69777005839774</v>
      </c>
      <c r="H104" s="694">
        <v>437.63309663772827</v>
      </c>
      <c r="I104" s="694">
        <v>399.5025315655368</v>
      </c>
      <c r="J104" s="694">
        <v>357.3259271055183</v>
      </c>
      <c r="K104" s="694">
        <v>309.45333030420534</v>
      </c>
      <c r="L104" s="695">
        <v>3.2</v>
      </c>
    </row>
    <row r="105" spans="1:12" hidden="1" x14ac:dyDescent="0.2">
      <c r="A105" s="693">
        <v>662.35999753280566</v>
      </c>
      <c r="B105" s="694">
        <v>636.37490135562132</v>
      </c>
      <c r="C105" s="694">
        <v>609.28258125363755</v>
      </c>
      <c r="D105" s="694">
        <v>580.92814750433126</v>
      </c>
      <c r="E105" s="694">
        <v>551.11683090478425</v>
      </c>
      <c r="F105" s="694">
        <v>519.59793114508386</v>
      </c>
      <c r="G105" s="694">
        <v>486.03935930536517</v>
      </c>
      <c r="H105" s="694">
        <v>449.98500812548014</v>
      </c>
      <c r="I105" s="694">
        <v>410.77823248245159</v>
      </c>
      <c r="J105" s="694">
        <v>367.41122060318958</v>
      </c>
      <c r="K105" s="694">
        <v>318.18745067781066</v>
      </c>
      <c r="L105" s="695">
        <v>3.3</v>
      </c>
    </row>
    <row r="106" spans="1:12" hidden="1" x14ac:dyDescent="0.2">
      <c r="A106" s="693">
        <v>680.4545539563976</v>
      </c>
      <c r="B106" s="694">
        <v>653.75958883981195</v>
      </c>
      <c r="C106" s="694">
        <v>625.92715231087391</v>
      </c>
      <c r="D106" s="694">
        <v>596.79812332144616</v>
      </c>
      <c r="E106" s="694">
        <v>566.17241190294681</v>
      </c>
      <c r="F106" s="694">
        <v>533.7924690364224</v>
      </c>
      <c r="G106" s="694">
        <v>499.31713369360767</v>
      </c>
      <c r="H106" s="694">
        <v>462.27783853436017</v>
      </c>
      <c r="I106" s="694">
        <v>422.00000000000006</v>
      </c>
      <c r="J106" s="694">
        <v>377.4482746019645</v>
      </c>
      <c r="K106" s="694">
        <v>326.87979441990598</v>
      </c>
      <c r="L106" s="695">
        <v>3.4</v>
      </c>
    </row>
    <row r="107" spans="1:12" hidden="1" x14ac:dyDescent="0.2">
      <c r="A107" s="693">
        <v>698.06099606614293</v>
      </c>
      <c r="B107" s="694">
        <v>670.67531126046993</v>
      </c>
      <c r="C107" s="694">
        <v>642.12272350369358</v>
      </c>
      <c r="D107" s="694">
        <v>612.23999456526326</v>
      </c>
      <c r="E107" s="694">
        <v>580.82185724260262</v>
      </c>
      <c r="F107" s="694">
        <v>547.60409855681212</v>
      </c>
      <c r="G107" s="694">
        <v>512.23673009819549</v>
      </c>
      <c r="H107" s="694">
        <v>474.23906056667676</v>
      </c>
      <c r="I107" s="694">
        <v>432.91905187071268</v>
      </c>
      <c r="J107" s="694">
        <v>387.21457149506836</v>
      </c>
      <c r="K107" s="694">
        <v>335.33765563023496</v>
      </c>
      <c r="L107" s="695">
        <v>3.5</v>
      </c>
    </row>
    <row r="108" spans="1:12" hidden="1" x14ac:dyDescent="0.2">
      <c r="A108" s="693">
        <v>715.58436965812064</v>
      </c>
      <c r="B108" s="694">
        <v>687.51122403079114</v>
      </c>
      <c r="C108" s="694">
        <v>658.24188277382029</v>
      </c>
      <c r="D108" s="694">
        <v>627.60900989942036</v>
      </c>
      <c r="E108" s="694">
        <v>595.40218539759962</v>
      </c>
      <c r="F108" s="694">
        <v>561.35056377057697</v>
      </c>
      <c r="G108" s="694">
        <v>525.09537087547392</v>
      </c>
      <c r="H108" s="694">
        <v>486.14384865403616</v>
      </c>
      <c r="I108" s="694">
        <v>443.78658683365518</v>
      </c>
      <c r="J108" s="694">
        <v>396.93479026506645</v>
      </c>
      <c r="K108" s="694">
        <v>343.75561201539557</v>
      </c>
      <c r="L108" s="695">
        <v>3.6</v>
      </c>
    </row>
    <row r="109" spans="1:12" hidden="1" x14ac:dyDescent="0.2">
      <c r="A109" s="693">
        <v>732.52413566831308</v>
      </c>
      <c r="B109" s="694">
        <v>703.78642477340486</v>
      </c>
      <c r="C109" s="694">
        <v>673.82420114897479</v>
      </c>
      <c r="D109" s="694">
        <v>642.46616752384432</v>
      </c>
      <c r="E109" s="694">
        <v>609.49692269239449</v>
      </c>
      <c r="F109" s="694">
        <v>574.63920953083345</v>
      </c>
      <c r="G109" s="694">
        <v>537.5257607677454</v>
      </c>
      <c r="H109" s="694">
        <v>497.65215346431057</v>
      </c>
      <c r="I109" s="694">
        <v>454.2921837390428</v>
      </c>
      <c r="J109" s="694">
        <v>406.33128179492968</v>
      </c>
      <c r="K109" s="694">
        <v>351.89321238670243</v>
      </c>
      <c r="L109" s="695">
        <v>3.7</v>
      </c>
    </row>
    <row r="110" spans="1:12" hidden="1" x14ac:dyDescent="0.2">
      <c r="A110" s="693">
        <v>749.34940887770495</v>
      </c>
      <c r="B110" s="694">
        <v>719.95162439112153</v>
      </c>
      <c r="C110" s="694">
        <v>689.30120146526906</v>
      </c>
      <c r="D110" s="694">
        <v>657.22290831917314</v>
      </c>
      <c r="E110" s="694">
        <v>623.49639621858353</v>
      </c>
      <c r="F110" s="694">
        <v>587.8380397487133</v>
      </c>
      <c r="G110" s="694">
        <v>549.87213591312172</v>
      </c>
      <c r="H110" s="694">
        <v>509.08267573323218</v>
      </c>
      <c r="I110" s="694">
        <v>464.72677522363199</v>
      </c>
      <c r="J110" s="694">
        <v>415.66426414572237</v>
      </c>
      <c r="K110" s="694">
        <v>359.97581219556076</v>
      </c>
      <c r="L110" s="695">
        <v>3.8</v>
      </c>
    </row>
    <row r="111" spans="1:12" hidden="1" x14ac:dyDescent="0.2">
      <c r="A111" s="693">
        <v>767.92364691674732</v>
      </c>
      <c r="B111" s="694">
        <v>737.79717506429006</v>
      </c>
      <c r="C111" s="694">
        <v>706.38701543259992</v>
      </c>
      <c r="D111" s="694">
        <v>673.51359274383299</v>
      </c>
      <c r="E111" s="694">
        <v>638.95109644606998</v>
      </c>
      <c r="F111" s="694">
        <v>602.40887085812778</v>
      </c>
      <c r="G111" s="694">
        <v>563.50190037611583</v>
      </c>
      <c r="H111" s="694">
        <v>521.70138562823786</v>
      </c>
      <c r="I111" s="694">
        <v>476.24602865047893</v>
      </c>
      <c r="J111" s="694">
        <v>425.96739763071332</v>
      </c>
      <c r="K111" s="694">
        <v>368.89858753214503</v>
      </c>
      <c r="L111" s="695">
        <v>3.9</v>
      </c>
    </row>
    <row r="112" spans="1:12" ht="13.5" hidden="1" thickBot="1" x14ac:dyDescent="0.25">
      <c r="A112" s="699">
        <v>786</v>
      </c>
      <c r="B112" s="700">
        <v>756</v>
      </c>
      <c r="C112" s="700">
        <v>723</v>
      </c>
      <c r="D112" s="700">
        <v>690</v>
      </c>
      <c r="E112" s="700">
        <v>654</v>
      </c>
      <c r="F112" s="700">
        <v>617</v>
      </c>
      <c r="G112" s="700">
        <v>577</v>
      </c>
      <c r="H112" s="700">
        <v>534</v>
      </c>
      <c r="I112" s="700">
        <v>488</v>
      </c>
      <c r="J112" s="700">
        <v>436</v>
      </c>
      <c r="K112" s="700">
        <v>378</v>
      </c>
      <c r="L112" s="701">
        <v>4</v>
      </c>
    </row>
    <row r="113" spans="1:15" hidden="1" x14ac:dyDescent="0.2"/>
    <row r="114" spans="1:15" ht="13.5" hidden="1" thickTop="1" x14ac:dyDescent="0.2">
      <c r="A114" s="975" t="s">
        <v>800</v>
      </c>
      <c r="B114" s="976"/>
      <c r="C114" s="976"/>
      <c r="D114" s="976"/>
      <c r="E114" s="976"/>
      <c r="F114" s="976"/>
      <c r="G114" s="976"/>
      <c r="H114" s="976"/>
      <c r="I114" s="976"/>
      <c r="J114" s="976"/>
      <c r="K114" s="976"/>
      <c r="L114" s="977"/>
      <c r="M114" s="606" t="s">
        <v>789</v>
      </c>
      <c r="N114" s="888" t="s">
        <v>790</v>
      </c>
      <c r="O114" s="895"/>
    </row>
    <row r="115" spans="1:15" hidden="1" x14ac:dyDescent="0.2">
      <c r="A115" s="971" t="s">
        <v>789</v>
      </c>
      <c r="B115" s="972"/>
      <c r="C115" s="972"/>
      <c r="D115" s="972"/>
      <c r="E115" s="972"/>
      <c r="F115" s="972"/>
      <c r="G115" s="972"/>
      <c r="H115" s="972"/>
      <c r="I115" s="972"/>
      <c r="J115" s="972"/>
      <c r="K115" s="972"/>
      <c r="L115" s="973" t="s">
        <v>791</v>
      </c>
      <c r="M115" s="690">
        <v>5</v>
      </c>
      <c r="N115" s="963">
        <f>IF($C$5&lt;59,N47,(IF($C$5&gt;309,N47,(VLOOKUP($C$5,$A$117:$L$151,12)))))</f>
        <v>1.1000000000000001</v>
      </c>
      <c r="O115" s="964"/>
    </row>
    <row r="116" spans="1:15" hidden="1" x14ac:dyDescent="0.2">
      <c r="A116" s="697">
        <v>5</v>
      </c>
      <c r="B116" s="702">
        <v>6</v>
      </c>
      <c r="C116" s="702">
        <v>7</v>
      </c>
      <c r="D116" s="702">
        <v>8</v>
      </c>
      <c r="E116" s="702">
        <v>9</v>
      </c>
      <c r="F116" s="702">
        <v>10</v>
      </c>
      <c r="G116" s="702">
        <v>11</v>
      </c>
      <c r="H116" s="702">
        <v>12</v>
      </c>
      <c r="I116" s="702">
        <v>13</v>
      </c>
      <c r="J116" s="702">
        <v>14</v>
      </c>
      <c r="K116" s="702">
        <v>15</v>
      </c>
      <c r="L116" s="974"/>
      <c r="M116" s="690">
        <v>6</v>
      </c>
      <c r="N116" s="963">
        <f>IF($C$5&lt;56,N47,(IF($C$5&gt;296,N47,(VLOOKUP($C$5,$B$117:$L$151,11)))))</f>
        <v>1.1000000000000001</v>
      </c>
      <c r="O116" s="964"/>
    </row>
    <row r="117" spans="1:15" hidden="1" x14ac:dyDescent="0.2">
      <c r="A117" s="693">
        <v>59</v>
      </c>
      <c r="B117" s="694">
        <v>56</v>
      </c>
      <c r="C117" s="694">
        <v>54</v>
      </c>
      <c r="D117" s="694">
        <v>51</v>
      </c>
      <c r="E117" s="694">
        <v>48</v>
      </c>
      <c r="F117" s="694">
        <v>45</v>
      </c>
      <c r="G117" s="694">
        <v>42</v>
      </c>
      <c r="H117" s="694">
        <v>38</v>
      </c>
      <c r="I117" s="694">
        <v>35</v>
      </c>
      <c r="J117" s="694">
        <v>32</v>
      </c>
      <c r="K117" s="694">
        <v>28</v>
      </c>
      <c r="L117" s="695">
        <v>0.6</v>
      </c>
      <c r="M117" s="690">
        <v>7</v>
      </c>
      <c r="N117" s="963">
        <f>IF($C$5&lt;54,N47,(IF($C$5&gt;282,N47,(VLOOKUP($C$5,$C$117:$L$151,10)))))</f>
        <v>1.2</v>
      </c>
      <c r="O117" s="964"/>
    </row>
    <row r="118" spans="1:15" hidden="1" x14ac:dyDescent="0.2">
      <c r="A118" s="693">
        <v>66.859584814988608</v>
      </c>
      <c r="B118" s="694">
        <v>64.013178915204122</v>
      </c>
      <c r="C118" s="694">
        <v>61.034171314331886</v>
      </c>
      <c r="D118" s="694">
        <v>57.902098936260437</v>
      </c>
      <c r="E118" s="694">
        <v>54.590622403685508</v>
      </c>
      <c r="F118" s="694">
        <v>51.06485139133423</v>
      </c>
      <c r="G118" s="694">
        <v>47.276865809995563</v>
      </c>
      <c r="H118" s="694">
        <v>43.587116613672428</v>
      </c>
      <c r="I118" s="694">
        <v>40.0227826275448</v>
      </c>
      <c r="J118" s="694">
        <v>36.108302699095738</v>
      </c>
      <c r="K118" s="694">
        <v>32.296247754926888</v>
      </c>
      <c r="L118" s="695">
        <v>0.7</v>
      </c>
      <c r="M118" s="690">
        <v>8</v>
      </c>
      <c r="N118" s="963">
        <f>IF($C$5&lt;51,N47,(IF($C$5&gt;268,N47,(VLOOKUP($C$5,$D$117:$L$151,9)))))</f>
        <v>1.3</v>
      </c>
      <c r="O118" s="964"/>
    </row>
    <row r="119" spans="1:15" hidden="1" x14ac:dyDescent="0.2">
      <c r="A119" s="693">
        <v>74.737378035864182</v>
      </c>
      <c r="B119" s="694">
        <v>71.555591694169522</v>
      </c>
      <c r="C119" s="694">
        <v>68.225579731723272</v>
      </c>
      <c r="D119" s="694">
        <v>64.72446799129952</v>
      </c>
      <c r="E119" s="694">
        <v>61.022813633786043</v>
      </c>
      <c r="F119" s="694">
        <v>57.081615348646288</v>
      </c>
      <c r="G119" s="694">
        <v>52.847306817262094</v>
      </c>
      <c r="H119" s="694">
        <v>48.722809464994548</v>
      </c>
      <c r="I119" s="694">
        <v>44.738504487564001</v>
      </c>
      <c r="J119" s="694">
        <v>40.362797294109896</v>
      </c>
      <c r="K119" s="694">
        <v>36.101583404669732</v>
      </c>
      <c r="L119" s="695">
        <v>0.8</v>
      </c>
      <c r="M119" s="690">
        <v>9</v>
      </c>
      <c r="N119" s="963">
        <f>IF($C$5&lt;48,N47,(IF($C$5&gt;252,N47,(VLOOKUP($C$5,$E$117:$L$151,8)))))</f>
        <v>1.4</v>
      </c>
      <c r="O119" s="964"/>
    </row>
    <row r="120" spans="1:15" hidden="1" x14ac:dyDescent="0.2">
      <c r="A120" s="693">
        <v>82.701849795491029</v>
      </c>
      <c r="B120" s="694">
        <v>79.180992855796077</v>
      </c>
      <c r="C120" s="694">
        <v>75.496114467324091</v>
      </c>
      <c r="D120" s="694">
        <v>71.621902862860125</v>
      </c>
      <c r="E120" s="694">
        <v>67.525777594416795</v>
      </c>
      <c r="F120" s="694">
        <v>63.16458113345098</v>
      </c>
      <c r="G120" s="694">
        <v>58.479038807062999</v>
      </c>
      <c r="H120" s="694">
        <v>53.915009810147339</v>
      </c>
      <c r="I120" s="694">
        <v>49.506112944314459</v>
      </c>
      <c r="J120" s="694">
        <v>44.664103650271045</v>
      </c>
      <c r="K120" s="694">
        <v>39.948788766441027</v>
      </c>
      <c r="L120" s="695">
        <v>0.9</v>
      </c>
      <c r="M120" s="690">
        <v>10</v>
      </c>
      <c r="N120" s="963">
        <f>IF($C$5&lt;45,N47,(IF($C$5&gt;236,N47,(VLOOKUP($C$5,$F$117:$L$151,7)))))</f>
        <v>1.5</v>
      </c>
      <c r="O120" s="964"/>
    </row>
    <row r="121" spans="1:15" hidden="1" x14ac:dyDescent="0.2">
      <c r="A121" s="693">
        <v>90.639784144704677</v>
      </c>
      <c r="B121" s="694">
        <v>86.780986381323402</v>
      </c>
      <c r="C121" s="694">
        <v>82.742423972423111</v>
      </c>
      <c r="D121" s="694">
        <v>78.496355662852253</v>
      </c>
      <c r="E121" s="694">
        <v>74.0070738501785</v>
      </c>
      <c r="F121" s="694">
        <v>69.227278636261246</v>
      </c>
      <c r="G121" s="694">
        <v>64.092006014005591</v>
      </c>
      <c r="H121" s="694">
        <v>59.089909880320782</v>
      </c>
      <c r="I121" s="694">
        <v>54.257835855089667</v>
      </c>
      <c r="J121" s="694">
        <v>48.951078166790928</v>
      </c>
      <c r="K121" s="694">
        <v>43.783175341140129</v>
      </c>
      <c r="L121" s="695">
        <v>1</v>
      </c>
      <c r="M121" s="690">
        <v>11</v>
      </c>
      <c r="N121" s="963">
        <f>IF($C$5&lt;42,N47,(IF($C$5&gt;219,N47,(VLOOKUP($C$5,$G$117:$L$151,6)))))</f>
        <v>1.6</v>
      </c>
      <c r="O121" s="964"/>
    </row>
    <row r="122" spans="1:15" hidden="1" x14ac:dyDescent="0.2">
      <c r="A122" s="693">
        <v>98.386991009990737</v>
      </c>
      <c r="B122" s="694">
        <v>94.198372243544284</v>
      </c>
      <c r="C122" s="694">
        <v>89.814623902049874</v>
      </c>
      <c r="D122" s="694">
        <v>85.205633616563176</v>
      </c>
      <c r="E122" s="694">
        <v>80.332641767424377</v>
      </c>
      <c r="F122" s="694">
        <v>75.144305617037062</v>
      </c>
      <c r="G122" s="694">
        <v>69.570108523704349</v>
      </c>
      <c r="H122" s="694">
        <v>64.140470843298317</v>
      </c>
      <c r="I122" s="694">
        <v>58.895387482099714</v>
      </c>
      <c r="J122" s="694">
        <v>53.135048069361282</v>
      </c>
      <c r="K122" s="694">
        <v>47.525431788324319</v>
      </c>
      <c r="L122" s="695">
        <v>1.1000000000000001</v>
      </c>
      <c r="M122" s="690">
        <v>12</v>
      </c>
      <c r="N122" s="963">
        <f>IF($C$5&lt;38,N47,(IF($C$5&gt;201,N47,(VLOOKUP($C$5,$H$117:$L$151,5)))))</f>
        <v>1.8</v>
      </c>
      <c r="O122" s="964"/>
    </row>
    <row r="123" spans="1:15" hidden="1" x14ac:dyDescent="0.2">
      <c r="A123" s="693">
        <v>106.08381042570578</v>
      </c>
      <c r="B123" s="694">
        <v>101.56751579565517</v>
      </c>
      <c r="C123" s="694">
        <v>96.840826593767972</v>
      </c>
      <c r="D123" s="694">
        <v>91.8712747589137</v>
      </c>
      <c r="E123" s="694">
        <v>86.617068504373833</v>
      </c>
      <c r="F123" s="694">
        <v>81.022848547523722</v>
      </c>
      <c r="G123" s="694">
        <v>75.012581726124722</v>
      </c>
      <c r="H123" s="694">
        <v>69.158183208032312</v>
      </c>
      <c r="I123" s="694">
        <v>63.502776703122386</v>
      </c>
      <c r="J123" s="694">
        <v>57.291805639004636</v>
      </c>
      <c r="K123" s="694">
        <v>51.24334878500806</v>
      </c>
      <c r="L123" s="695">
        <v>1.2</v>
      </c>
      <c r="M123" s="690">
        <v>13</v>
      </c>
      <c r="N123" s="963">
        <f>IF($C$5&lt;35,N47,(IF($C$5&gt;185,N47,(VLOOKUP($C$5,$I$117:$L$151,4)))))</f>
        <v>2</v>
      </c>
      <c r="O123" s="964"/>
    </row>
    <row r="124" spans="1:15" hidden="1" x14ac:dyDescent="0.2">
      <c r="A124" s="693">
        <v>113.73098452974575</v>
      </c>
      <c r="B124" s="694">
        <v>108.8891275805953</v>
      </c>
      <c r="C124" s="694">
        <v>103.82170952368803</v>
      </c>
      <c r="D124" s="694">
        <v>98.493921800174803</v>
      </c>
      <c r="E124" s="694">
        <v>92.860960014081513</v>
      </c>
      <c r="F124" s="694">
        <v>86.863474244901923</v>
      </c>
      <c r="G124" s="694">
        <v>80.419950392005532</v>
      </c>
      <c r="H124" s="694">
        <v>74.143530789238383</v>
      </c>
      <c r="I124" s="694">
        <v>68.080447768952396</v>
      </c>
      <c r="J124" s="694">
        <v>61.421751675993164</v>
      </c>
      <c r="K124" s="694">
        <v>54.937284817852948</v>
      </c>
      <c r="L124" s="695">
        <v>1.3</v>
      </c>
      <c r="M124" s="690">
        <v>14</v>
      </c>
      <c r="N124" s="963">
        <f>IF($C$5&lt;32,N47,(IF($C$5&gt;167,N47,(VLOOKUP($C$5,$J$117:$L$151,3)))))</f>
        <v>2.2000000000000002</v>
      </c>
      <c r="O124" s="964"/>
    </row>
    <row r="125" spans="1:15" ht="13.5" hidden="1" thickBot="1" x14ac:dyDescent="0.25">
      <c r="A125" s="693">
        <v>121.32923931899305</v>
      </c>
      <c r="B125" s="694">
        <v>116.16390268746011</v>
      </c>
      <c r="C125" s="694">
        <v>110.75793543325874</v>
      </c>
      <c r="D125" s="694">
        <v>105.07420347208975</v>
      </c>
      <c r="E125" s="694">
        <v>99.064909070519676</v>
      </c>
      <c r="F125" s="694">
        <v>92.666737198449681</v>
      </c>
      <c r="G125" s="694">
        <v>85.792727878665474</v>
      </c>
      <c r="H125" s="694">
        <v>79.096986878978754</v>
      </c>
      <c r="I125" s="694">
        <v>72.628835268220442</v>
      </c>
      <c r="J125" s="694">
        <v>65.525278263455462</v>
      </c>
      <c r="K125" s="694">
        <v>58.607590576670319</v>
      </c>
      <c r="L125" s="695">
        <v>1.4</v>
      </c>
      <c r="M125" s="696">
        <v>15</v>
      </c>
      <c r="N125" s="967">
        <f>IF($C$5&lt;28,N47,(IF($C$5&gt;149,N47,(VLOOKUP($C$5,$K$117:$L$151,2)))))</f>
        <v>2.5</v>
      </c>
      <c r="O125" s="968"/>
    </row>
    <row r="126" spans="1:15" hidden="1" x14ac:dyDescent="0.2">
      <c r="A126" s="693">
        <v>129.08901557207756</v>
      </c>
      <c r="B126" s="694">
        <v>123.59332282228712</v>
      </c>
      <c r="C126" s="694">
        <v>117.84160959160424</v>
      </c>
      <c r="D126" s="694">
        <v>111.79436683494414</v>
      </c>
      <c r="E126" s="694">
        <v>105.40073984992733</v>
      </c>
      <c r="F126" s="694">
        <v>98.593364207729778</v>
      </c>
      <c r="G126" s="694">
        <v>91.279718287711859</v>
      </c>
      <c r="H126" s="694">
        <v>84.155742080273029</v>
      </c>
      <c r="I126" s="694">
        <v>77.273911050174178</v>
      </c>
      <c r="J126" s="694">
        <v>69.716036411280754</v>
      </c>
      <c r="K126" s="694">
        <v>62.355918614989712</v>
      </c>
      <c r="L126" s="695">
        <v>1.5</v>
      </c>
    </row>
    <row r="127" spans="1:15" hidden="1" x14ac:dyDescent="0.2">
      <c r="A127" s="693">
        <v>136.82389857323616</v>
      </c>
      <c r="B127" s="694">
        <v>130.99890948292006</v>
      </c>
      <c r="C127" s="694">
        <v>124.90255942393394</v>
      </c>
      <c r="D127" s="694">
        <v>118.49297200924794</v>
      </c>
      <c r="E127" s="694">
        <v>111.71624537424931</v>
      </c>
      <c r="F127" s="694">
        <v>104.50097868180252</v>
      </c>
      <c r="G127" s="694">
        <v>96.74910650951567</v>
      </c>
      <c r="H127" s="694">
        <v>89.19826886678446</v>
      </c>
      <c r="I127" s="694">
        <v>81.904085495042438</v>
      </c>
      <c r="J127" s="694">
        <v>73.893350666533394</v>
      </c>
      <c r="K127" s="694">
        <v>66.092222070239231</v>
      </c>
      <c r="L127" s="695">
        <v>1.6</v>
      </c>
    </row>
    <row r="128" spans="1:15" hidden="1" x14ac:dyDescent="0.2">
      <c r="A128" s="693">
        <v>144.30076118101161</v>
      </c>
      <c r="B128" s="694">
        <v>138.15746042457403</v>
      </c>
      <c r="C128" s="694">
        <v>131.72796994000979</v>
      </c>
      <c r="D128" s="694">
        <v>124.96812496818744</v>
      </c>
      <c r="E128" s="694">
        <v>117.82107812956433</v>
      </c>
      <c r="F128" s="694">
        <v>110.2115268252885</v>
      </c>
      <c r="G128" s="694">
        <v>102.03604676147381</v>
      </c>
      <c r="H128" s="694">
        <v>94.072586936382393</v>
      </c>
      <c r="I128" s="694">
        <v>86.379806481271615</v>
      </c>
      <c r="J128" s="694">
        <v>77.931317983084583</v>
      </c>
      <c r="K128" s="694">
        <v>69.70388983453158</v>
      </c>
      <c r="L128" s="695">
        <v>1.7</v>
      </c>
    </row>
    <row r="129" spans="1:12" hidden="1" x14ac:dyDescent="0.2">
      <c r="A129" s="693">
        <v>151.73103734011605</v>
      </c>
      <c r="B129" s="694">
        <v>145.27140823741624</v>
      </c>
      <c r="C129" s="694">
        <v>138.5108530414004</v>
      </c>
      <c r="D129" s="694">
        <v>131.40293287910575</v>
      </c>
      <c r="E129" s="694">
        <v>123.8878732088219</v>
      </c>
      <c r="F129" s="694">
        <v>115.88649398087547</v>
      </c>
      <c r="G129" s="694">
        <v>107.29004541966532</v>
      </c>
      <c r="H129" s="694">
        <v>98.916534357157758</v>
      </c>
      <c r="I129" s="694">
        <v>90.827640376761181</v>
      </c>
      <c r="J129" s="694">
        <v>81.944125741811064</v>
      </c>
      <c r="K129" s="694">
        <v>73.293054206191982</v>
      </c>
      <c r="L129" s="695">
        <v>1.8</v>
      </c>
    </row>
    <row r="130" spans="1:12" hidden="1" x14ac:dyDescent="0.2">
      <c r="A130" s="693">
        <v>159.36936421157387</v>
      </c>
      <c r="B130" s="694">
        <v>152.58454944205363</v>
      </c>
      <c r="C130" s="694">
        <v>145.48365958989257</v>
      </c>
      <c r="D130" s="694">
        <v>138.01791799219751</v>
      </c>
      <c r="E130" s="694">
        <v>130.12454098337557</v>
      </c>
      <c r="F130" s="694">
        <v>121.72036249275394</v>
      </c>
      <c r="G130" s="694">
        <v>112.69115814739254</v>
      </c>
      <c r="H130" s="694">
        <v>103.89611424837094</v>
      </c>
      <c r="I130" s="694">
        <v>95.400015405119973</v>
      </c>
      <c r="J130" s="694">
        <v>86.069293727110988</v>
      </c>
      <c r="K130" s="694">
        <v>76.98271661968657</v>
      </c>
      <c r="L130" s="695">
        <v>1.9</v>
      </c>
    </row>
    <row r="131" spans="1:12" hidden="1" x14ac:dyDescent="0.2">
      <c r="A131" s="693">
        <v>166.98373237827954</v>
      </c>
      <c r="B131" s="694">
        <v>159.87475193329459</v>
      </c>
      <c r="C131" s="694">
        <v>152.43459493331585</v>
      </c>
      <c r="D131" s="694">
        <v>144.6121542583322</v>
      </c>
      <c r="E131" s="694">
        <v>136.34164655741569</v>
      </c>
      <c r="F131" s="694">
        <v>127.53593224161908</v>
      </c>
      <c r="G131" s="694">
        <v>118.07532951252114</v>
      </c>
      <c r="H131" s="694">
        <v>108.86007497501957</v>
      </c>
      <c r="I131" s="694">
        <v>99.958048525209591</v>
      </c>
      <c r="J131" s="694">
        <v>90.181522532996894</v>
      </c>
      <c r="K131" s="694">
        <v>80.660805879284041</v>
      </c>
      <c r="L131" s="695">
        <v>2</v>
      </c>
    </row>
    <row r="132" spans="1:12" hidden="1" x14ac:dyDescent="0.2">
      <c r="A132" s="693">
        <v>174.29786813223802</v>
      </c>
      <c r="B132" s="694">
        <v>166.87750377394426</v>
      </c>
      <c r="C132" s="694">
        <v>159.11145683514602</v>
      </c>
      <c r="D132" s="694">
        <v>150.94638162798827</v>
      </c>
      <c r="E132" s="694">
        <v>142.31361339296402</v>
      </c>
      <c r="F132" s="694">
        <v>133.12219569756869</v>
      </c>
      <c r="G132" s="694">
        <v>123.24720450266413</v>
      </c>
      <c r="H132" s="694">
        <v>113.62830811493805</v>
      </c>
      <c r="I132" s="694">
        <v>104.33635967086015</v>
      </c>
      <c r="J132" s="694">
        <v>94.131607304193452</v>
      </c>
      <c r="K132" s="694">
        <v>84.193869105396928</v>
      </c>
      <c r="L132" s="695">
        <v>2.1</v>
      </c>
    </row>
    <row r="133" spans="1:12" hidden="1" x14ac:dyDescent="0.2">
      <c r="A133" s="693">
        <v>181.56759747496298</v>
      </c>
      <c r="B133" s="694">
        <v>173.83773971272083</v>
      </c>
      <c r="C133" s="694">
        <v>165.74778141509213</v>
      </c>
      <c r="D133" s="694">
        <v>157.24215191742525</v>
      </c>
      <c r="E133" s="694">
        <v>148.24932254556893</v>
      </c>
      <c r="F133" s="694">
        <v>138.67454319671512</v>
      </c>
      <c r="G133" s="694">
        <v>128.38767941829579</v>
      </c>
      <c r="H133" s="694">
        <v>118.36759181656453</v>
      </c>
      <c r="I133" s="694">
        <v>108.68808871689124</v>
      </c>
      <c r="J133" s="694">
        <v>98.057709872344077</v>
      </c>
      <c r="K133" s="694">
        <v>87.70548199700545</v>
      </c>
      <c r="L133" s="695">
        <v>2.2000000000000002</v>
      </c>
    </row>
    <row r="134" spans="1:12" hidden="1" x14ac:dyDescent="0.2">
      <c r="A134" s="693">
        <v>188.65553024205013</v>
      </c>
      <c r="B134" s="694">
        <v>180.62391868188445</v>
      </c>
      <c r="C134" s="694">
        <v>172.21814918611486</v>
      </c>
      <c r="D134" s="694">
        <v>163.38048175403884</v>
      </c>
      <c r="E134" s="694">
        <v>154.03659541574117</v>
      </c>
      <c r="F134" s="694">
        <v>144.08804126770426</v>
      </c>
      <c r="G134" s="694">
        <v>133.39960474249744</v>
      </c>
      <c r="H134" s="694">
        <v>122.98835865087545</v>
      </c>
      <c r="I134" s="694">
        <v>112.9309926057019</v>
      </c>
      <c r="J134" s="694">
        <v>101.88563106828077</v>
      </c>
      <c r="K134" s="694">
        <v>91.129278799656149</v>
      </c>
      <c r="L134" s="695">
        <v>2.2999999999999998</v>
      </c>
    </row>
    <row r="135" spans="1:12" hidden="1" x14ac:dyDescent="0.2">
      <c r="A135" s="693">
        <v>195.72174125528309</v>
      </c>
      <c r="B135" s="694">
        <v>187.38930065508009</v>
      </c>
      <c r="C135" s="694">
        <v>178.66868779951344</v>
      </c>
      <c r="D135" s="694">
        <v>169.49999999999997</v>
      </c>
      <c r="E135" s="694">
        <v>159.80613254815975</v>
      </c>
      <c r="F135" s="694">
        <v>149.48494907514936</v>
      </c>
      <c r="G135" s="694">
        <v>138.39617046724953</v>
      </c>
      <c r="H135" s="694">
        <v>127.59496463418922</v>
      </c>
      <c r="I135" s="694">
        <v>117.16089364630162</v>
      </c>
      <c r="J135" s="694">
        <v>105.70182117636384</v>
      </c>
      <c r="K135" s="694">
        <v>94.542582998350539</v>
      </c>
      <c r="L135" s="695">
        <v>2.4</v>
      </c>
    </row>
    <row r="136" spans="1:12" hidden="1" x14ac:dyDescent="0.2">
      <c r="A136" s="693">
        <v>202.88294823180632</v>
      </c>
      <c r="B136" s="694">
        <v>194.2456343386572</v>
      </c>
      <c r="C136" s="694">
        <v>185.20594546618864</v>
      </c>
      <c r="D136" s="694">
        <v>175.70178716342744</v>
      </c>
      <c r="E136" s="694">
        <v>165.65323355980672</v>
      </c>
      <c r="F136" s="694">
        <v>154.95441124800996</v>
      </c>
      <c r="G136" s="694">
        <v>143.45990848182953</v>
      </c>
      <c r="H136" s="694">
        <v>132.26350040873965</v>
      </c>
      <c r="I136" s="694">
        <v>121.4476601729761</v>
      </c>
      <c r="J136" s="694">
        <v>109.56931496823685</v>
      </c>
      <c r="K136" s="694">
        <v>98.001774606825151</v>
      </c>
      <c r="L136" s="695">
        <v>2.5</v>
      </c>
    </row>
    <row r="137" spans="1:12" hidden="1" x14ac:dyDescent="0.2">
      <c r="A137" s="693">
        <v>210.0017636610244</v>
      </c>
      <c r="B137" s="694">
        <v>201.06138120570463</v>
      </c>
      <c r="C137" s="694">
        <v>191.70450512168625</v>
      </c>
      <c r="D137" s="694">
        <v>181.86686216998291</v>
      </c>
      <c r="E137" s="694">
        <v>171.46572201801882</v>
      </c>
      <c r="F137" s="694">
        <v>160.39149634181183</v>
      </c>
      <c r="G137" s="694">
        <v>148.49367114584501</v>
      </c>
      <c r="H137" s="694">
        <v>136.90440027557486</v>
      </c>
      <c r="I137" s="694">
        <v>125.70905071671956</v>
      </c>
      <c r="J137" s="694">
        <v>113.41391470795246</v>
      </c>
      <c r="K137" s="694">
        <v>101.44048915253798</v>
      </c>
      <c r="L137" s="695">
        <v>2.6</v>
      </c>
    </row>
    <row r="138" spans="1:12" hidden="1" x14ac:dyDescent="0.2">
      <c r="A138" s="693">
        <v>217.41247575837178</v>
      </c>
      <c r="B138" s="694">
        <v>208.15659785548286</v>
      </c>
      <c r="C138" s="694">
        <v>198.46952875984223</v>
      </c>
      <c r="D138" s="694">
        <v>188.28472710641842</v>
      </c>
      <c r="E138" s="694">
        <v>177.51654310774271</v>
      </c>
      <c r="F138" s="694">
        <v>166.05152119841506</v>
      </c>
      <c r="G138" s="694">
        <v>153.73383592330057</v>
      </c>
      <c r="H138" s="694">
        <v>141.73559348850401</v>
      </c>
      <c r="I138" s="694">
        <v>130.14517337898533</v>
      </c>
      <c r="J138" s="694">
        <v>117.41615666574103</v>
      </c>
      <c r="K138" s="694">
        <v>105.02020318454481</v>
      </c>
      <c r="L138" s="695">
        <v>2.7</v>
      </c>
    </row>
    <row r="139" spans="1:12" hidden="1" x14ac:dyDescent="0.2">
      <c r="A139" s="693">
        <v>224.80093443466686</v>
      </c>
      <c r="B139" s="694">
        <v>215.2305084767053</v>
      </c>
      <c r="C139" s="694">
        <v>205.21423789684485</v>
      </c>
      <c r="D139" s="694">
        <v>194.68332001490148</v>
      </c>
      <c r="E139" s="694">
        <v>183.54919435526344</v>
      </c>
      <c r="F139" s="694">
        <v>171.69454972394431</v>
      </c>
      <c r="G139" s="694">
        <v>158.95826515582542</v>
      </c>
      <c r="H139" s="694">
        <v>146.55227924582834</v>
      </c>
      <c r="I139" s="694">
        <v>134.5679749320046</v>
      </c>
      <c r="J139" s="694">
        <v>121.40638040257188</v>
      </c>
      <c r="K139" s="694">
        <v>108.58916779293963</v>
      </c>
      <c r="L139" s="695">
        <v>2.8</v>
      </c>
    </row>
    <row r="140" spans="1:12" hidden="1" x14ac:dyDescent="0.2">
      <c r="A140" s="693">
        <v>231.81310807020972</v>
      </c>
      <c r="B140" s="694">
        <v>221.94415359966831</v>
      </c>
      <c r="C140" s="694">
        <v>211.61544735906125</v>
      </c>
      <c r="D140" s="694">
        <v>200.75604051902909</v>
      </c>
      <c r="E140" s="694">
        <v>189.2746101535557</v>
      </c>
      <c r="F140" s="694">
        <v>177.05018580245243</v>
      </c>
      <c r="G140" s="694">
        <v>163.91662068437526</v>
      </c>
      <c r="H140" s="694">
        <v>151.12365716888127</v>
      </c>
      <c r="I140" s="694">
        <v>138.76552868497103</v>
      </c>
      <c r="J140" s="694">
        <v>125.19338699125231</v>
      </c>
      <c r="K140" s="694">
        <v>111.97636945835123</v>
      </c>
      <c r="L140" s="695">
        <v>2.9</v>
      </c>
    </row>
    <row r="141" spans="1:12" hidden="1" x14ac:dyDescent="0.2">
      <c r="A141" s="693">
        <v>238.78480231828371</v>
      </c>
      <c r="B141" s="694">
        <v>228.61904265976332</v>
      </c>
      <c r="C141" s="694">
        <v>217.97970436522647</v>
      </c>
      <c r="D141" s="694">
        <v>206.793704845279</v>
      </c>
      <c r="E141" s="694">
        <v>194.9669746703816</v>
      </c>
      <c r="F141" s="694">
        <v>182.37490523810033</v>
      </c>
      <c r="G141" s="694">
        <v>168.84635296354762</v>
      </c>
      <c r="H141" s="694">
        <v>155.66864575991943</v>
      </c>
      <c r="I141" s="694">
        <v>142.9388510920497</v>
      </c>
      <c r="J141" s="694">
        <v>128.95853221211473</v>
      </c>
      <c r="K141" s="694">
        <v>115.34401772195397</v>
      </c>
      <c r="L141" s="695">
        <v>3</v>
      </c>
    </row>
    <row r="142" spans="1:12" hidden="1" x14ac:dyDescent="0.2">
      <c r="A142" s="693">
        <v>246.08745037613846</v>
      </c>
      <c r="B142" s="694">
        <v>235.61079586875761</v>
      </c>
      <c r="C142" s="694">
        <v>224.64607948324038</v>
      </c>
      <c r="D142" s="694">
        <v>213.11798357827828</v>
      </c>
      <c r="E142" s="694">
        <v>200.92956184133851</v>
      </c>
      <c r="F142" s="694">
        <v>187.95239482122392</v>
      </c>
      <c r="G142" s="694">
        <v>174.01010492587551</v>
      </c>
      <c r="H142" s="694">
        <v>160.42938983823095</v>
      </c>
      <c r="I142" s="694">
        <v>147.31028559368099</v>
      </c>
      <c r="J142" s="694">
        <v>132.90241291833874</v>
      </c>
      <c r="K142" s="694">
        <v>118.87153186366068</v>
      </c>
      <c r="L142" s="695">
        <v>3.1</v>
      </c>
    </row>
    <row r="143" spans="1:12" hidden="1" x14ac:dyDescent="0.2">
      <c r="A143" s="693">
        <v>253.36862996551562</v>
      </c>
      <c r="B143" s="694">
        <v>242.58199458406949</v>
      </c>
      <c r="C143" s="694">
        <v>231.29285666048719</v>
      </c>
      <c r="D143" s="694">
        <v>219.4236700721957</v>
      </c>
      <c r="E143" s="694">
        <v>206.87462008118572</v>
      </c>
      <c r="F143" s="694">
        <v>193.51348759070532</v>
      </c>
      <c r="G143" s="694">
        <v>179.15867638856119</v>
      </c>
      <c r="H143" s="694">
        <v>165.17613818740895</v>
      </c>
      <c r="I143" s="694">
        <v>151.66886886613392</v>
      </c>
      <c r="J143" s="694">
        <v>136.83469932644655</v>
      </c>
      <c r="K143" s="694">
        <v>122.38867574987169</v>
      </c>
      <c r="L143" s="695">
        <v>3.2</v>
      </c>
    </row>
    <row r="144" spans="1:12" hidden="1" x14ac:dyDescent="0.2">
      <c r="A144" s="693">
        <v>260.6284850264974</v>
      </c>
      <c r="B144" s="694">
        <v>249.53277661783551</v>
      </c>
      <c r="C144" s="694">
        <v>237.92016729568343</v>
      </c>
      <c r="D144" s="694">
        <v>225.71088898279896</v>
      </c>
      <c r="E144" s="694">
        <v>212.80226691650822</v>
      </c>
      <c r="F144" s="694">
        <v>199.0582934825982</v>
      </c>
      <c r="G144" s="694">
        <v>184.29216913261288</v>
      </c>
      <c r="H144" s="694">
        <v>169.90898464490647</v>
      </c>
      <c r="I144" s="694">
        <v>156.01468707330918</v>
      </c>
      <c r="J144" s="694">
        <v>140.75546917296714</v>
      </c>
      <c r="K144" s="694">
        <v>125.89551891025226</v>
      </c>
      <c r="L144" s="695">
        <v>3.3</v>
      </c>
    </row>
    <row r="145" spans="1:15" hidden="1" x14ac:dyDescent="0.2">
      <c r="A145" s="693">
        <v>267.8671580676837</v>
      </c>
      <c r="B145" s="694">
        <v>256.46327841165231</v>
      </c>
      <c r="C145" s="694">
        <v>244.52814148078724</v>
      </c>
      <c r="D145" s="694">
        <v>231.97976372615585</v>
      </c>
      <c r="E145" s="694">
        <v>218.71261870509056</v>
      </c>
      <c r="F145" s="694">
        <v>204.58692133964362</v>
      </c>
      <c r="G145" s="694">
        <v>189.41068392682797</v>
      </c>
      <c r="H145" s="694">
        <v>174.62802211496421</v>
      </c>
      <c r="I145" s="694">
        <v>160.34782552220847</v>
      </c>
      <c r="J145" s="694">
        <v>144.66479942134077</v>
      </c>
      <c r="K145" s="694">
        <v>129.39213018299611</v>
      </c>
      <c r="L145" s="695">
        <v>3.4</v>
      </c>
    </row>
    <row r="146" spans="1:15" hidden="1" x14ac:dyDescent="0.2">
      <c r="A146" s="693">
        <v>274.67513278676785</v>
      </c>
      <c r="B146" s="694">
        <v>262.98141795662326</v>
      </c>
      <c r="C146" s="694">
        <v>250.74294368839935</v>
      </c>
      <c r="D146" s="694">
        <v>237.87564278120493</v>
      </c>
      <c r="E146" s="694">
        <v>224.27130678626511</v>
      </c>
      <c r="F146" s="694">
        <v>209.78659791956841</v>
      </c>
      <c r="G146" s="694">
        <v>194.22464901683892</v>
      </c>
      <c r="H146" s="694">
        <v>179.0662786312854</v>
      </c>
      <c r="I146" s="694">
        <v>164.42314386391971</v>
      </c>
      <c r="J146" s="694">
        <v>148.34152599098246</v>
      </c>
      <c r="K146" s="694">
        <v>132.6806944007555</v>
      </c>
      <c r="L146" s="695">
        <v>3.5</v>
      </c>
    </row>
    <row r="147" spans="1:15" hidden="1" x14ac:dyDescent="0.2">
      <c r="A147" s="693">
        <v>281.44512954880844</v>
      </c>
      <c r="B147" s="694">
        <v>269.46319637602357</v>
      </c>
      <c r="C147" s="694">
        <v>256.92307692307696</v>
      </c>
      <c r="D147" s="694">
        <v>243.73863196067046</v>
      </c>
      <c r="E147" s="694">
        <v>229.79898599536304</v>
      </c>
      <c r="F147" s="694">
        <v>214.95726835567788</v>
      </c>
      <c r="G147" s="694">
        <v>199.01175963588881</v>
      </c>
      <c r="H147" s="694">
        <v>183.47977654871633</v>
      </c>
      <c r="I147" s="694">
        <v>168.47572823975912</v>
      </c>
      <c r="J147" s="694">
        <v>151.99774211963631</v>
      </c>
      <c r="K147" s="694">
        <v>135.95091352239592</v>
      </c>
      <c r="L147" s="695">
        <v>3.6</v>
      </c>
    </row>
    <row r="148" spans="1:15" hidden="1" x14ac:dyDescent="0.2">
      <c r="A148" s="693">
        <v>288.60236907140637</v>
      </c>
      <c r="B148" s="694">
        <v>276.3157315116639</v>
      </c>
      <c r="C148" s="694">
        <v>263.45671281640097</v>
      </c>
      <c r="D148" s="694">
        <v>249.93698320821034</v>
      </c>
      <c r="E148" s="694">
        <v>235.64284759444507</v>
      </c>
      <c r="F148" s="694">
        <v>220.42370033555039</v>
      </c>
      <c r="G148" s="694">
        <v>204.0726922368942</v>
      </c>
      <c r="H148" s="694">
        <v>188.14572585974955</v>
      </c>
      <c r="I148" s="694">
        <v>172.76011981082365</v>
      </c>
      <c r="J148" s="694">
        <v>155.86309324149912</v>
      </c>
      <c r="K148" s="694">
        <v>139.40818866855207</v>
      </c>
      <c r="L148" s="695">
        <v>3.7</v>
      </c>
    </row>
    <row r="149" spans="1:15" hidden="1" x14ac:dyDescent="0.2">
      <c r="A149" s="693">
        <v>295.73915374671566</v>
      </c>
      <c r="B149" s="694">
        <v>283.14868262202492</v>
      </c>
      <c r="C149" s="694">
        <v>269.9716760742744</v>
      </c>
      <c r="D149" s="694">
        <v>256.11762003836759</v>
      </c>
      <c r="E149" s="694">
        <v>241.47000788065242</v>
      </c>
      <c r="F149" s="694">
        <v>225.87450966775125</v>
      </c>
      <c r="G149" s="694">
        <v>209.11916107667358</v>
      </c>
      <c r="H149" s="694">
        <v>192.79834024181847</v>
      </c>
      <c r="I149" s="694">
        <v>177.03226691598277</v>
      </c>
      <c r="J149" s="694">
        <v>159.71739748325328</v>
      </c>
      <c r="K149" s="694">
        <v>142.8555831847633</v>
      </c>
      <c r="L149" s="695">
        <v>3.8</v>
      </c>
    </row>
    <row r="150" spans="1:15" hidden="1" x14ac:dyDescent="0.2">
      <c r="A150" s="693">
        <v>302.4125217866042</v>
      </c>
      <c r="B150" s="694">
        <v>289.53794608344901</v>
      </c>
      <c r="C150" s="694">
        <v>276.06359975757601</v>
      </c>
      <c r="D150" s="694">
        <v>261.8969262897142</v>
      </c>
      <c r="E150" s="694">
        <v>246.91879006849379</v>
      </c>
      <c r="F150" s="694">
        <v>230.97137869826599</v>
      </c>
      <c r="G150" s="694">
        <v>213.83794487103236</v>
      </c>
      <c r="H150" s="694">
        <v>197.14884393946286</v>
      </c>
      <c r="I150" s="694">
        <v>181.02700842078175</v>
      </c>
      <c r="J150" s="694">
        <v>163.32142813754996</v>
      </c>
      <c r="K150" s="694">
        <v>146.07912619916345</v>
      </c>
      <c r="L150" s="695">
        <v>3.9</v>
      </c>
    </row>
    <row r="151" spans="1:15" ht="13.5" hidden="1" thickBot="1" x14ac:dyDescent="0.25">
      <c r="A151" s="699">
        <v>309</v>
      </c>
      <c r="B151" s="700">
        <v>296</v>
      </c>
      <c r="C151" s="700">
        <v>282</v>
      </c>
      <c r="D151" s="700">
        <v>268</v>
      </c>
      <c r="E151" s="700">
        <v>252</v>
      </c>
      <c r="F151" s="700">
        <v>236</v>
      </c>
      <c r="G151" s="700">
        <v>219</v>
      </c>
      <c r="H151" s="700">
        <v>201</v>
      </c>
      <c r="I151" s="700">
        <v>185</v>
      </c>
      <c r="J151" s="700">
        <v>167</v>
      </c>
      <c r="K151" s="700">
        <v>149</v>
      </c>
      <c r="L151" s="701">
        <v>4</v>
      </c>
    </row>
    <row r="152" spans="1:15" hidden="1" x14ac:dyDescent="0.2"/>
    <row r="153" spans="1:15" ht="13.5" hidden="1" thickTop="1" x14ac:dyDescent="0.2">
      <c r="A153" s="956" t="s">
        <v>801</v>
      </c>
      <c r="B153" s="957"/>
      <c r="C153" s="957"/>
      <c r="D153" s="957"/>
      <c r="E153" s="957"/>
      <c r="F153" s="957"/>
      <c r="G153" s="957"/>
      <c r="H153" s="957"/>
      <c r="I153" s="957"/>
      <c r="J153" s="957"/>
      <c r="K153" s="957"/>
      <c r="L153" s="958"/>
      <c r="M153" s="606" t="s">
        <v>789</v>
      </c>
      <c r="N153" s="888" t="s">
        <v>790</v>
      </c>
      <c r="O153" s="895"/>
    </row>
    <row r="154" spans="1:15" hidden="1" x14ac:dyDescent="0.2">
      <c r="A154" s="959" t="s">
        <v>789</v>
      </c>
      <c r="B154" s="960"/>
      <c r="C154" s="960"/>
      <c r="D154" s="960"/>
      <c r="E154" s="960"/>
      <c r="F154" s="960"/>
      <c r="G154" s="960"/>
      <c r="H154" s="960"/>
      <c r="I154" s="960"/>
      <c r="J154" s="960"/>
      <c r="K154" s="960"/>
      <c r="L154" s="961" t="s">
        <v>791</v>
      </c>
      <c r="M154" s="690">
        <v>5</v>
      </c>
      <c r="N154" s="963" t="str">
        <f>IF($C$5&lt;198,N47,(IF($C$5&gt;1032,N47,(VLOOKUP($C$5,$A$156:$L$190,12)))))</f>
        <v>NOT POSSIBLE</v>
      </c>
      <c r="O154" s="964"/>
    </row>
    <row r="155" spans="1:15" hidden="1" x14ac:dyDescent="0.2">
      <c r="A155" s="691">
        <v>5</v>
      </c>
      <c r="B155" s="692">
        <v>6</v>
      </c>
      <c r="C155" s="692">
        <v>7</v>
      </c>
      <c r="D155" s="692">
        <v>8</v>
      </c>
      <c r="E155" s="692">
        <v>9</v>
      </c>
      <c r="F155" s="692">
        <v>10</v>
      </c>
      <c r="G155" s="692">
        <v>11</v>
      </c>
      <c r="H155" s="692">
        <v>12</v>
      </c>
      <c r="I155" s="692">
        <v>13</v>
      </c>
      <c r="J155" s="692">
        <v>14</v>
      </c>
      <c r="K155" s="692">
        <v>15</v>
      </c>
      <c r="L155" s="962"/>
      <c r="M155" s="690">
        <v>6</v>
      </c>
      <c r="N155" s="963" t="str">
        <f>IF($C$5&lt;191,N47,(IF($C$5&gt;991,N47,(VLOOKUP($C$5,$B$156:$L$190,11)))))</f>
        <v>NOT POSSIBLE</v>
      </c>
      <c r="O155" s="964"/>
    </row>
    <row r="156" spans="1:15" hidden="1" x14ac:dyDescent="0.2">
      <c r="A156" s="693">
        <v>198</v>
      </c>
      <c r="B156" s="694">
        <v>191</v>
      </c>
      <c r="C156" s="694">
        <v>182</v>
      </c>
      <c r="D156" s="694">
        <v>174</v>
      </c>
      <c r="E156" s="694">
        <v>165</v>
      </c>
      <c r="F156" s="694">
        <v>156</v>
      </c>
      <c r="G156" s="694">
        <v>146</v>
      </c>
      <c r="H156" s="694">
        <v>135</v>
      </c>
      <c r="I156" s="694">
        <v>123</v>
      </c>
      <c r="J156" s="694">
        <v>109.99999999999999</v>
      </c>
      <c r="K156" s="694">
        <v>95</v>
      </c>
      <c r="L156" s="695">
        <v>0.6</v>
      </c>
      <c r="M156" s="690">
        <v>7</v>
      </c>
      <c r="N156" s="963" t="str">
        <f>IF($C$5&lt;182,N47,(IF($C$5&gt;949,N47,(VLOOKUP($C$5,$C$156:$L$190,10)))))</f>
        <v>NOT POSSIBLE</v>
      </c>
      <c r="O156" s="964"/>
    </row>
    <row r="157" spans="1:15" hidden="1" x14ac:dyDescent="0.2">
      <c r="A157" s="693">
        <v>225.84286572747874</v>
      </c>
      <c r="B157" s="694">
        <v>216.98280683394816</v>
      </c>
      <c r="C157" s="694">
        <v>207.74522117987914</v>
      </c>
      <c r="D157" s="694">
        <v>198.07729648956587</v>
      </c>
      <c r="E157" s="694">
        <v>187.91262290265078</v>
      </c>
      <c r="F157" s="694">
        <v>177.16571990001989</v>
      </c>
      <c r="G157" s="694">
        <v>165.72335613675813</v>
      </c>
      <c r="H157" s="694">
        <v>153.43001411317547</v>
      </c>
      <c r="I157" s="694">
        <v>140.06179954687036</v>
      </c>
      <c r="J157" s="694">
        <v>125.27508193510053</v>
      </c>
      <c r="K157" s="694">
        <v>108.49140341697408</v>
      </c>
      <c r="L157" s="695">
        <v>0.7</v>
      </c>
      <c r="M157" s="690">
        <v>8</v>
      </c>
      <c r="N157" s="963" t="str">
        <f>IF($C$5&lt;174,N47,(IF($C$5&gt;905,N47,(VLOOKUP($C$5,$D$156:$L$190,9)))))</f>
        <v>NOT POSSIBLE</v>
      </c>
      <c r="O157" s="964"/>
    </row>
    <row r="158" spans="1:15" hidden="1" x14ac:dyDescent="0.2">
      <c r="A158" s="693">
        <v>252.9732289105994</v>
      </c>
      <c r="B158" s="694">
        <v>243.04881664539585</v>
      </c>
      <c r="C158" s="694">
        <v>232.70152556440186</v>
      </c>
      <c r="D158" s="694">
        <v>221.87219908603404</v>
      </c>
      <c r="E158" s="694">
        <v>210.48644957465896</v>
      </c>
      <c r="F158" s="694">
        <v>198.4485277894955</v>
      </c>
      <c r="G158" s="694">
        <v>185.63159997449492</v>
      </c>
      <c r="H158" s="694">
        <v>171.86146640932523</v>
      </c>
      <c r="I158" s="694">
        <v>156.88733653050636</v>
      </c>
      <c r="J158" s="694">
        <v>140.3242997164393</v>
      </c>
      <c r="K158" s="694">
        <v>121.52440832269792</v>
      </c>
      <c r="L158" s="695">
        <v>0.8</v>
      </c>
      <c r="M158" s="690">
        <v>9</v>
      </c>
      <c r="N158" s="963" t="str">
        <f>IF($C$5&lt;165,N47,(IF($C$5&gt;859,N47,(VLOOKUP($C$5,$E$156:$L$190,8)))))</f>
        <v>NOT POSSIBLE</v>
      </c>
      <c r="O158" s="964"/>
    </row>
    <row r="159" spans="1:15" hidden="1" x14ac:dyDescent="0.2">
      <c r="A159" s="693">
        <v>280.15049260613949</v>
      </c>
      <c r="B159" s="694">
        <v>269.15988701164099</v>
      </c>
      <c r="C159" s="694">
        <v>257.70097214557819</v>
      </c>
      <c r="D159" s="694">
        <v>245.7082361530293</v>
      </c>
      <c r="E159" s="694">
        <v>233.09929983183028</v>
      </c>
      <c r="F159" s="694">
        <v>219.76812746789798</v>
      </c>
      <c r="G159" s="694">
        <v>205.57425937943438</v>
      </c>
      <c r="H159" s="694">
        <v>190.32478132933628</v>
      </c>
      <c r="I159" s="694">
        <v>173.74195997719261</v>
      </c>
      <c r="J159" s="694">
        <v>155.3995332212202</v>
      </c>
      <c r="K159" s="694">
        <v>134.57994350582049</v>
      </c>
      <c r="L159" s="695">
        <v>0.9</v>
      </c>
      <c r="M159" s="690">
        <v>10</v>
      </c>
      <c r="N159" s="963" t="str">
        <f>IF($C$5&lt;156,N47,(IF($C$5&gt;809,N47,(VLOOKUP($C$5,$F$156:$L$190,7)))))</f>
        <v>NOT POSSIBLE</v>
      </c>
      <c r="O159" s="964"/>
    </row>
    <row r="160" spans="1:15" hidden="1" x14ac:dyDescent="0.2">
      <c r="A160" s="693">
        <v>306.94059590051734</v>
      </c>
      <c r="B160" s="694">
        <v>294.89898569629884</v>
      </c>
      <c r="C160" s="694">
        <v>282.34428295548508</v>
      </c>
      <c r="D160" s="694">
        <v>269.20471108542705</v>
      </c>
      <c r="E160" s="694">
        <v>255.39001316325863</v>
      </c>
      <c r="F160" s="694">
        <v>240.78401354008241</v>
      </c>
      <c r="G160" s="694">
        <v>225.23282071983152</v>
      </c>
      <c r="H160" s="694">
        <v>208.52507255088759</v>
      </c>
      <c r="I160" s="694">
        <v>190.35647673587079</v>
      </c>
      <c r="J160" s="694">
        <v>170.26000877550572</v>
      </c>
      <c r="K160" s="694">
        <v>147.44949284814942</v>
      </c>
      <c r="L160" s="695">
        <v>1</v>
      </c>
      <c r="M160" s="690">
        <v>11</v>
      </c>
      <c r="N160" s="963" t="str">
        <f>IF($C$5&lt;146,N47,(IF($C$5&gt;757,N47,(VLOOKUP($C$5,$G$156:$L$190,6)))))</f>
        <v>NOT POSSIBLE</v>
      </c>
      <c r="O160" s="964"/>
    </row>
    <row r="161" spans="1:15" hidden="1" x14ac:dyDescent="0.2">
      <c r="A161" s="693">
        <v>332.9219998303123</v>
      </c>
      <c r="B161" s="694">
        <v>319.86111116355261</v>
      </c>
      <c r="C161" s="694">
        <v>306.2436985450488</v>
      </c>
      <c r="D161" s="694">
        <v>291.99190975490887</v>
      </c>
      <c r="E161" s="694">
        <v>277.00784795035491</v>
      </c>
      <c r="F161" s="694">
        <v>261.16550363678408</v>
      </c>
      <c r="G161" s="694">
        <v>244.29795896327744</v>
      </c>
      <c r="H161" s="694">
        <v>226.17596074161216</v>
      </c>
      <c r="I161" s="694">
        <v>206.46945943930649</v>
      </c>
      <c r="J161" s="694">
        <v>184.67189863356995</v>
      </c>
      <c r="K161" s="694">
        <v>159.9305555817763</v>
      </c>
      <c r="L161" s="695">
        <v>1.1000000000000001</v>
      </c>
      <c r="M161" s="690">
        <v>12</v>
      </c>
      <c r="N161" s="963" t="str">
        <f>IF($C$5&lt;135,N47,(IF($C$5&gt;701,N47,(VLOOKUP($C$5,$H$156:$L$190,5)))))</f>
        <v>NOT POSSIBLE</v>
      </c>
      <c r="O161" s="964"/>
    </row>
    <row r="162" spans="1:15" hidden="1" x14ac:dyDescent="0.2">
      <c r="A162" s="693">
        <v>358.54690866647513</v>
      </c>
      <c r="B162" s="694">
        <v>344.48072722370318</v>
      </c>
      <c r="C162" s="694">
        <v>329.8151863435902</v>
      </c>
      <c r="D162" s="694">
        <v>314.46644154367704</v>
      </c>
      <c r="E162" s="694">
        <v>298.32906088986465</v>
      </c>
      <c r="F162" s="694">
        <v>281.26733597365029</v>
      </c>
      <c r="G162" s="694">
        <v>263.10150132600916</v>
      </c>
      <c r="H162" s="694">
        <v>243.58465820795385</v>
      </c>
      <c r="I162" s="694">
        <v>222.36135327113709</v>
      </c>
      <c r="J162" s="694">
        <v>198.88604059324308</v>
      </c>
      <c r="K162" s="694">
        <v>172.24036361185159</v>
      </c>
      <c r="L162" s="695">
        <v>1.2</v>
      </c>
      <c r="M162" s="690">
        <v>13</v>
      </c>
      <c r="N162" s="963" t="str">
        <f>IF($C$5&lt;123,N47,(IF($C$5&gt;640,N47,(VLOOKUP($C$5,$I$156:$L$190,4)))))</f>
        <v>NOT POSSIBLE</v>
      </c>
      <c r="O162" s="964"/>
    </row>
    <row r="163" spans="1:15" hidden="1" x14ac:dyDescent="0.2">
      <c r="A163" s="693">
        <v>383.82649028941103</v>
      </c>
      <c r="B163" s="694">
        <v>368.76856362917755</v>
      </c>
      <c r="C163" s="694">
        <v>353.06901930694261</v>
      </c>
      <c r="D163" s="694">
        <v>336.63810133079954</v>
      </c>
      <c r="E163" s="694">
        <v>319.36294421996598</v>
      </c>
      <c r="F163" s="694">
        <v>301.09827135685208</v>
      </c>
      <c r="G163" s="694">
        <v>281.65164279180755</v>
      </c>
      <c r="H163" s="694">
        <v>260.75875203061429</v>
      </c>
      <c r="I163" s="694">
        <v>238.03908425677247</v>
      </c>
      <c r="J163" s="694">
        <v>212.90862947997732</v>
      </c>
      <c r="K163" s="694">
        <v>184.38428181458877</v>
      </c>
      <c r="L163" s="695">
        <v>1.3</v>
      </c>
      <c r="M163" s="690">
        <v>14</v>
      </c>
      <c r="N163" s="963" t="str">
        <f>IF($C$5&lt;110,N47,(IF($C$5&gt;572,N47,(VLOOKUP($C$5,$J$156:$L$190,3)))))</f>
        <v>NOT POSSIBLE</v>
      </c>
      <c r="O163" s="964"/>
    </row>
    <row r="164" spans="1:15" ht="13.5" hidden="1" thickBot="1" x14ac:dyDescent="0.25">
      <c r="A164" s="693">
        <v>408.77139767302157</v>
      </c>
      <c r="B164" s="694">
        <v>392.73485542623615</v>
      </c>
      <c r="C164" s="694">
        <v>376.01499674584488</v>
      </c>
      <c r="D164" s="694">
        <v>358.51623239246624</v>
      </c>
      <c r="E164" s="694">
        <v>340.11836175072932</v>
      </c>
      <c r="F164" s="694">
        <v>320.66666666666663</v>
      </c>
      <c r="G164" s="694">
        <v>299.95620050637763</v>
      </c>
      <c r="H164" s="694">
        <v>277.70547948020993</v>
      </c>
      <c r="I164" s="694">
        <v>253.50925909016507</v>
      </c>
      <c r="J164" s="694">
        <v>226.74557450048621</v>
      </c>
      <c r="K164" s="694">
        <v>196.36742771311808</v>
      </c>
      <c r="L164" s="695">
        <v>1.4</v>
      </c>
      <c r="M164" s="696">
        <v>15</v>
      </c>
      <c r="N164" s="967">
        <f>IF($C$5&lt;95,N47,(IF($C$5&gt;496,N47,(VLOOKUP($C$5,$K$156:$L$190,2)))))</f>
        <v>0.6</v>
      </c>
      <c r="O164" s="968"/>
    </row>
    <row r="165" spans="1:15" hidden="1" x14ac:dyDescent="0.2">
      <c r="A165" s="693">
        <v>433.98670980309328</v>
      </c>
      <c r="B165" s="694">
        <v>416.96094370028067</v>
      </c>
      <c r="C165" s="694">
        <v>399.20971037431303</v>
      </c>
      <c r="D165" s="694">
        <v>380.63152410547553</v>
      </c>
      <c r="E165" s="694">
        <v>361.09876963037613</v>
      </c>
      <c r="F165" s="694">
        <v>340.44718491167725</v>
      </c>
      <c r="G165" s="694">
        <v>318.45918105779276</v>
      </c>
      <c r="H165" s="694">
        <v>294.8359107804107</v>
      </c>
      <c r="I165" s="694">
        <v>269.1471318283526</v>
      </c>
      <c r="J165" s="694">
        <v>240.73251308691744</v>
      </c>
      <c r="K165" s="694">
        <v>208.48047185014033</v>
      </c>
      <c r="L165" s="695">
        <v>1.5</v>
      </c>
    </row>
    <row r="166" spans="1:15" hidden="1" x14ac:dyDescent="0.2">
      <c r="A166" s="693">
        <v>458.93946744925825</v>
      </c>
      <c r="B166" s="694">
        <v>440.93477778563749</v>
      </c>
      <c r="C166" s="694">
        <v>422.16290900448666</v>
      </c>
      <c r="D166" s="694">
        <v>402.51654030286926</v>
      </c>
      <c r="E166" s="694">
        <v>381.86071897440854</v>
      </c>
      <c r="F166" s="694">
        <v>360.02173847409978</v>
      </c>
      <c r="G166" s="694">
        <v>336.76949929020287</v>
      </c>
      <c r="H166" s="694">
        <v>311.78797143320776</v>
      </c>
      <c r="I166" s="694">
        <v>284.62217518790709</v>
      </c>
      <c r="J166" s="694">
        <v>254.57381264960569</v>
      </c>
      <c r="K166" s="694">
        <v>220.46738889281875</v>
      </c>
      <c r="L166" s="695">
        <v>1.6</v>
      </c>
    </row>
    <row r="167" spans="1:15" hidden="1" x14ac:dyDescent="0.2">
      <c r="A167" s="693">
        <v>484.0539492726524</v>
      </c>
      <c r="B167" s="694">
        <v>465.06399143454678</v>
      </c>
      <c r="C167" s="694">
        <v>445.26487224079654</v>
      </c>
      <c r="D167" s="694">
        <v>424.54339798681769</v>
      </c>
      <c r="E167" s="694">
        <v>402.75723096770611</v>
      </c>
      <c r="F167" s="694">
        <v>379.72315891890872</v>
      </c>
      <c r="G167" s="694">
        <v>355.19849062451749</v>
      </c>
      <c r="H167" s="694">
        <v>328.84990202905044</v>
      </c>
      <c r="I167" s="694">
        <v>300.19751562445805</v>
      </c>
      <c r="J167" s="694">
        <v>268.50482064513739</v>
      </c>
      <c r="K167" s="694">
        <v>232.53199571727339</v>
      </c>
      <c r="L167" s="695">
        <v>1.7</v>
      </c>
    </row>
    <row r="168" spans="1:15" hidden="1" x14ac:dyDescent="0.2">
      <c r="A168" s="693">
        <v>508.91373678587382</v>
      </c>
      <c r="B168" s="694">
        <v>488.9485027054202</v>
      </c>
      <c r="C168" s="694">
        <v>468.13255078704259</v>
      </c>
      <c r="D168" s="694">
        <v>446.34687398355737</v>
      </c>
      <c r="E168" s="694">
        <v>423.44182448525822</v>
      </c>
      <c r="F168" s="694">
        <v>399.2247807087067</v>
      </c>
      <c r="G168" s="694">
        <v>373.44058743048481</v>
      </c>
      <c r="H168" s="694">
        <v>345.73880191401162</v>
      </c>
      <c r="I168" s="694">
        <v>315.6149013551908</v>
      </c>
      <c r="J168" s="694">
        <v>282.29454965683885</v>
      </c>
      <c r="K168" s="694">
        <v>244.4742513527101</v>
      </c>
      <c r="L168" s="695">
        <v>1.8</v>
      </c>
    </row>
    <row r="169" spans="1:15" hidden="1" x14ac:dyDescent="0.2">
      <c r="A169" s="693">
        <v>533.1111886592555</v>
      </c>
      <c r="B169" s="694">
        <v>512.19666247705243</v>
      </c>
      <c r="C169" s="694">
        <v>490.3909691578537</v>
      </c>
      <c r="D169" s="694">
        <v>467.56944319590258</v>
      </c>
      <c r="E169" s="694">
        <v>443.57532143873124</v>
      </c>
      <c r="F169" s="694">
        <v>418.20682367510591</v>
      </c>
      <c r="G169" s="694">
        <v>391.19666275080681</v>
      </c>
      <c r="H169" s="694">
        <v>362.17773333864108</v>
      </c>
      <c r="I169" s="694">
        <v>330.62152395944094</v>
      </c>
      <c r="J169" s="694">
        <v>295.71688095915414</v>
      </c>
      <c r="K169" s="694">
        <v>256.09833123852621</v>
      </c>
      <c r="L169" s="695">
        <v>1.9</v>
      </c>
    </row>
    <row r="170" spans="1:15" hidden="1" x14ac:dyDescent="0.2">
      <c r="A170" s="693">
        <v>557.06994810645938</v>
      </c>
      <c r="B170" s="694">
        <v>535.21549398349816</v>
      </c>
      <c r="C170" s="694">
        <v>512.4298224310005</v>
      </c>
      <c r="D170" s="694">
        <v>488.58266530172091</v>
      </c>
      <c r="E170" s="694">
        <v>463.51021428874685</v>
      </c>
      <c r="F170" s="694">
        <v>437.00162089707027</v>
      </c>
      <c r="G170" s="694">
        <v>408.77758571542716</v>
      </c>
      <c r="H170" s="694">
        <v>378.45450519183942</v>
      </c>
      <c r="I170" s="694">
        <v>345.48011580504414</v>
      </c>
      <c r="J170" s="694">
        <v>309.00680952583122</v>
      </c>
      <c r="K170" s="694">
        <v>267.60774699174908</v>
      </c>
      <c r="L170" s="695">
        <v>2</v>
      </c>
    </row>
    <row r="171" spans="1:15" hidden="1" x14ac:dyDescent="0.2">
      <c r="A171" s="693">
        <v>581.54535506699722</v>
      </c>
      <c r="B171" s="694">
        <v>558.73070436481282</v>
      </c>
      <c r="C171" s="694">
        <v>534.9439222946645</v>
      </c>
      <c r="D171" s="694">
        <v>510.0490172522637</v>
      </c>
      <c r="E171" s="694">
        <v>483.87498385430092</v>
      </c>
      <c r="F171" s="694">
        <v>456.20170977320987</v>
      </c>
      <c r="G171" s="694">
        <v>426.73762430795807</v>
      </c>
      <c r="H171" s="694">
        <v>395.08226991349534</v>
      </c>
      <c r="I171" s="694">
        <v>360.65911883661005</v>
      </c>
      <c r="J171" s="694">
        <v>322.58332256953395</v>
      </c>
      <c r="K171" s="694">
        <v>279.36535218240641</v>
      </c>
      <c r="L171" s="695">
        <v>2.1</v>
      </c>
    </row>
    <row r="172" spans="1:15" hidden="1" x14ac:dyDescent="0.2">
      <c r="A172" s="693">
        <v>605.84046304837273</v>
      </c>
      <c r="B172" s="694">
        <v>582.07268909013021</v>
      </c>
      <c r="C172" s="694">
        <v>557.29217121951763</v>
      </c>
      <c r="D172" s="694">
        <v>531.35723653725927</v>
      </c>
      <c r="E172" s="694">
        <v>504.08973560117403</v>
      </c>
      <c r="F172" s="694">
        <v>475.26036049349864</v>
      </c>
      <c r="G172" s="694">
        <v>444.56535962033632</v>
      </c>
      <c r="H172" s="694">
        <v>411.58754559911995</v>
      </c>
      <c r="I172" s="694">
        <v>375.72630518804033</v>
      </c>
      <c r="J172" s="694">
        <v>336.05982373411598</v>
      </c>
      <c r="K172" s="694">
        <v>291.03634454506511</v>
      </c>
      <c r="L172" s="695">
        <v>2.2000000000000002</v>
      </c>
    </row>
    <row r="173" spans="1:15" hidden="1" x14ac:dyDescent="0.2">
      <c r="A173" s="693">
        <v>629.56455017943927</v>
      </c>
      <c r="B173" s="694">
        <v>604.86605472818246</v>
      </c>
      <c r="C173" s="694">
        <v>579.11515735839066</v>
      </c>
      <c r="D173" s="694">
        <v>552.16463740629979</v>
      </c>
      <c r="E173" s="694">
        <v>523.82936928147456</v>
      </c>
      <c r="F173" s="694">
        <v>493.87106560480385</v>
      </c>
      <c r="G173" s="694">
        <v>461.97408018353298</v>
      </c>
      <c r="H173" s="694">
        <v>427.70488900785119</v>
      </c>
      <c r="I173" s="694">
        <v>390.43935944140583</v>
      </c>
      <c r="J173" s="694">
        <v>349.21957952098307</v>
      </c>
      <c r="K173" s="694">
        <v>302.43302736409123</v>
      </c>
      <c r="L173" s="695">
        <v>2.2999999999999998</v>
      </c>
    </row>
    <row r="174" spans="1:15" hidden="1" x14ac:dyDescent="0.2">
      <c r="A174" s="693">
        <v>653.06513484625611</v>
      </c>
      <c r="B174" s="694">
        <v>627.44468614440757</v>
      </c>
      <c r="C174" s="694">
        <v>600.73255113232347</v>
      </c>
      <c r="D174" s="694">
        <v>572.77601364673535</v>
      </c>
      <c r="E174" s="694">
        <v>543.38303767061097</v>
      </c>
      <c r="F174" s="694">
        <v>512.306440958179</v>
      </c>
      <c r="G174" s="694">
        <v>479.2187947757597</v>
      </c>
      <c r="H174" s="694">
        <v>443.67039239217564</v>
      </c>
      <c r="I174" s="694">
        <v>405.01380335060509</v>
      </c>
      <c r="J174" s="694">
        <v>362.255358447074</v>
      </c>
      <c r="K174" s="694">
        <v>313.72234307220378</v>
      </c>
      <c r="L174" s="695">
        <v>2.4</v>
      </c>
    </row>
    <row r="175" spans="1:15" hidden="1" x14ac:dyDescent="0.2">
      <c r="A175" s="693">
        <v>676.78730769007029</v>
      </c>
      <c r="B175" s="694">
        <v>650.23621259475851</v>
      </c>
      <c r="C175" s="694">
        <v>622.55377638303514</v>
      </c>
      <c r="D175" s="694">
        <v>593.58173557479017</v>
      </c>
      <c r="E175" s="694">
        <v>563.12107856763987</v>
      </c>
      <c r="F175" s="694">
        <v>530.91564437901434</v>
      </c>
      <c r="G175" s="694">
        <v>496.62611063614656</v>
      </c>
      <c r="H175" s="694">
        <v>459.78643529881128</v>
      </c>
      <c r="I175" s="694">
        <v>419.72567041341426</v>
      </c>
      <c r="J175" s="694">
        <v>375.41405237842656</v>
      </c>
      <c r="K175" s="694">
        <v>325.11810629737926</v>
      </c>
      <c r="L175" s="695">
        <v>2.5</v>
      </c>
    </row>
    <row r="176" spans="1:15" hidden="1" x14ac:dyDescent="0.2">
      <c r="A176" s="693">
        <v>700.34210169455071</v>
      </c>
      <c r="B176" s="694">
        <v>672.86692665793794</v>
      </c>
      <c r="C176" s="694">
        <v>644.22103549500571</v>
      </c>
      <c r="D176" s="694">
        <v>614.24065654954484</v>
      </c>
      <c r="E176" s="694">
        <v>582.71985185213509</v>
      </c>
      <c r="F176" s="694">
        <v>549.39354503555342</v>
      </c>
      <c r="G176" s="694">
        <v>513.9106040070501</v>
      </c>
      <c r="H176" s="694">
        <v>475.78876667597922</v>
      </c>
      <c r="I176" s="694">
        <v>434.3337335266603</v>
      </c>
      <c r="J176" s="694">
        <v>388.47990123475671</v>
      </c>
      <c r="K176" s="694">
        <v>336.43346332896897</v>
      </c>
      <c r="L176" s="695">
        <v>2.6</v>
      </c>
    </row>
    <row r="177" spans="1:12" hidden="1" x14ac:dyDescent="0.2">
      <c r="A177" s="693">
        <v>724.622995233849</v>
      </c>
      <c r="B177" s="694">
        <v>696.19525458905218</v>
      </c>
      <c r="C177" s="694">
        <v>666.55620903488375</v>
      </c>
      <c r="D177" s="694">
        <v>635.53640894412661</v>
      </c>
      <c r="E177" s="694">
        <v>602.92277646829393</v>
      </c>
      <c r="F177" s="694">
        <v>568.44104503006895</v>
      </c>
      <c r="G177" s="694">
        <v>531.727908770564</v>
      </c>
      <c r="H177" s="694">
        <v>492.28438554981369</v>
      </c>
      <c r="I177" s="694">
        <v>449.39210445533871</v>
      </c>
      <c r="J177" s="694">
        <v>401.94851764552936</v>
      </c>
      <c r="K177" s="694">
        <v>348.09762729452609</v>
      </c>
      <c r="L177" s="695">
        <v>2.7</v>
      </c>
    </row>
    <row r="178" spans="1:12" hidden="1" x14ac:dyDescent="0.2">
      <c r="A178" s="693">
        <v>748.78895689024705</v>
      </c>
      <c r="B178" s="694">
        <v>719.41315953883338</v>
      </c>
      <c r="C178" s="694">
        <v>688.78566061911431</v>
      </c>
      <c r="D178" s="694">
        <v>656.73135940913653</v>
      </c>
      <c r="E178" s="694">
        <v>623.03007197745706</v>
      </c>
      <c r="F178" s="694">
        <v>587.3983850378703</v>
      </c>
      <c r="G178" s="694">
        <v>549.46087658900774</v>
      </c>
      <c r="H178" s="694">
        <v>508.70192358474861</v>
      </c>
      <c r="I178" s="694">
        <v>464.37919765606023</v>
      </c>
      <c r="J178" s="694">
        <v>415.35338131830468</v>
      </c>
      <c r="K178" s="694">
        <v>359.70657976941669</v>
      </c>
      <c r="L178" s="695">
        <v>2.8</v>
      </c>
    </row>
    <row r="179" spans="1:12" hidden="1" x14ac:dyDescent="0.2">
      <c r="A179" s="693">
        <v>772.29814723579648</v>
      </c>
      <c r="B179" s="694">
        <v>742.00005902374471</v>
      </c>
      <c r="C179" s="694">
        <v>710.41097046613618</v>
      </c>
      <c r="D179" s="694">
        <v>677.35028332911622</v>
      </c>
      <c r="E179" s="694">
        <v>642.59090072411584</v>
      </c>
      <c r="F179" s="694">
        <v>605.84051124105849</v>
      </c>
      <c r="G179" s="694">
        <v>566.71190602300192</v>
      </c>
      <c r="H179" s="694">
        <v>524.6732733765084</v>
      </c>
      <c r="I179" s="694">
        <v>478.95897858064734</v>
      </c>
      <c r="J179" s="694">
        <v>428.39393381607726</v>
      </c>
      <c r="K179" s="694">
        <v>371.00002951187236</v>
      </c>
      <c r="L179" s="695">
        <v>2.9</v>
      </c>
    </row>
    <row r="180" spans="1:12" hidden="1" x14ac:dyDescent="0.2">
      <c r="A180" s="693">
        <v>795.6466090985673</v>
      </c>
      <c r="B180" s="694">
        <v>764.43253557738853</v>
      </c>
      <c r="C180" s="694">
        <v>731.88843161270313</v>
      </c>
      <c r="D180" s="694">
        <v>697.8282390443436</v>
      </c>
      <c r="E180" s="694">
        <v>662.01799528937022</v>
      </c>
      <c r="F180" s="694">
        <v>624.15655164885015</v>
      </c>
      <c r="G180" s="694">
        <v>583.84499299506774</v>
      </c>
      <c r="H180" s="694">
        <v>540.53542966639816</v>
      </c>
      <c r="I180" s="694">
        <v>493.43907993172246</v>
      </c>
      <c r="J180" s="694">
        <v>441.34533019291348</v>
      </c>
      <c r="K180" s="694">
        <v>382.21626778869427</v>
      </c>
      <c r="L180" s="695">
        <v>3</v>
      </c>
    </row>
    <row r="181" spans="1:12" hidden="1" x14ac:dyDescent="0.2">
      <c r="A181" s="693">
        <v>819.4251986911313</v>
      </c>
      <c r="B181" s="694">
        <v>787.2782654866653</v>
      </c>
      <c r="C181" s="694">
        <v>753.76155272432447</v>
      </c>
      <c r="D181" s="694">
        <v>718.68344173431251</v>
      </c>
      <c r="E181" s="694">
        <v>681.80297775880183</v>
      </c>
      <c r="F181" s="694">
        <v>642.81001200857281</v>
      </c>
      <c r="G181" s="694">
        <v>601.29370743103061</v>
      </c>
      <c r="H181" s="694">
        <v>556.68980020640402</v>
      </c>
      <c r="I181" s="694">
        <v>508.18593517681938</v>
      </c>
      <c r="J181" s="694">
        <v>454.53531850586791</v>
      </c>
      <c r="K181" s="694">
        <v>393.63913274333265</v>
      </c>
      <c r="L181" s="695">
        <v>3.1</v>
      </c>
    </row>
    <row r="182" spans="1:12" hidden="1" x14ac:dyDescent="0.2">
      <c r="A182" s="693">
        <v>843.09446535483892</v>
      </c>
      <c r="B182" s="694">
        <v>810.01896132334412</v>
      </c>
      <c r="C182" s="694">
        <v>775.53411136760246</v>
      </c>
      <c r="D182" s="694">
        <v>739.44276187283378</v>
      </c>
      <c r="E182" s="694">
        <v>701.4969980531007</v>
      </c>
      <c r="F182" s="694">
        <v>661.37771240713846</v>
      </c>
      <c r="G182" s="694">
        <v>618.66220076895524</v>
      </c>
      <c r="H182" s="694">
        <v>572.7699004414203</v>
      </c>
      <c r="I182" s="694">
        <v>522.86499121959025</v>
      </c>
      <c r="J182" s="694">
        <v>467.66466536873378</v>
      </c>
      <c r="K182" s="694">
        <v>405.00948066167206</v>
      </c>
      <c r="L182" s="695">
        <v>3.2</v>
      </c>
    </row>
    <row r="183" spans="1:12" hidden="1" x14ac:dyDescent="0.2">
      <c r="A183" s="693">
        <v>866.65556540509158</v>
      </c>
      <c r="B183" s="694">
        <v>832.65573403932751</v>
      </c>
      <c r="C183" s="694">
        <v>797.20717119800406</v>
      </c>
      <c r="D183" s="694">
        <v>760.1072136156032</v>
      </c>
      <c r="E183" s="694">
        <v>721.10101828483687</v>
      </c>
      <c r="F183" s="694">
        <v>679.86055993297703</v>
      </c>
      <c r="G183" s="694">
        <v>635.95132151237283</v>
      </c>
      <c r="H183" s="694">
        <v>588.77651593307087</v>
      </c>
      <c r="I183" s="694">
        <v>537.47696517640463</v>
      </c>
      <c r="J183" s="694">
        <v>480.73401218989125</v>
      </c>
      <c r="K183" s="694">
        <v>416.32786701966376</v>
      </c>
      <c r="L183" s="695">
        <v>3.3</v>
      </c>
    </row>
    <row r="184" spans="1:12" hidden="1" x14ac:dyDescent="0.2">
      <c r="A184" s="693">
        <v>890.10963699803688</v>
      </c>
      <c r="B184" s="694">
        <v>855.18967713967152</v>
      </c>
      <c r="C184" s="694">
        <v>818.78177916691243</v>
      </c>
      <c r="D184" s="694">
        <v>780.67779519159706</v>
      </c>
      <c r="E184" s="694">
        <v>740.61598545716777</v>
      </c>
      <c r="F184" s="694">
        <v>698.25944742922786</v>
      </c>
      <c r="G184" s="694">
        <v>653.16190483956518</v>
      </c>
      <c r="H184" s="694">
        <v>604.71041990619585</v>
      </c>
      <c r="I184" s="694">
        <v>552.02256290174091</v>
      </c>
      <c r="J184" s="694">
        <v>493.74399030477855</v>
      </c>
      <c r="K184" s="694">
        <v>427.59483856983576</v>
      </c>
      <c r="L184" s="695">
        <v>3.4</v>
      </c>
    </row>
    <row r="185" spans="1:12" hidden="1" x14ac:dyDescent="0.2">
      <c r="A185" s="693">
        <v>913.45780050415397</v>
      </c>
      <c r="B185" s="694">
        <v>877.62186704151475</v>
      </c>
      <c r="C185" s="694">
        <v>840.25896586527494</v>
      </c>
      <c r="D185" s="694">
        <v>801.15548923072879</v>
      </c>
      <c r="E185" s="694">
        <v>760.04283177468074</v>
      </c>
      <c r="F185" s="694">
        <v>716.57525378680418</v>
      </c>
      <c r="G185" s="694">
        <v>670.29477287770192</v>
      </c>
      <c r="H185" s="694">
        <v>620.57237350265359</v>
      </c>
      <c r="I185" s="694">
        <v>566.50247921987443</v>
      </c>
      <c r="J185" s="694">
        <v>506.69522118312045</v>
      </c>
      <c r="K185" s="694">
        <v>438.81093352075737</v>
      </c>
      <c r="L185" s="695">
        <v>3.5</v>
      </c>
    </row>
    <row r="186" spans="1:12" hidden="1" x14ac:dyDescent="0.2">
      <c r="A186" s="693">
        <v>936.70115887238217</v>
      </c>
      <c r="B186" s="694">
        <v>899.95336342392102</v>
      </c>
      <c r="C186" s="694">
        <v>861.63974585855328</v>
      </c>
      <c r="D186" s="694">
        <v>821.54126308321054</v>
      </c>
      <c r="E186" s="694">
        <v>779.38247494636494</v>
      </c>
      <c r="F186" s="694">
        <v>734.80884423003886</v>
      </c>
      <c r="G186" s="694">
        <v>687.3507349700368</v>
      </c>
      <c r="H186" s="694">
        <v>636.363126028696</v>
      </c>
      <c r="I186" s="694">
        <v>580.91739815069957</v>
      </c>
      <c r="J186" s="694">
        <v>519.58831663090996</v>
      </c>
      <c r="K186" s="694">
        <v>449.97668171196051</v>
      </c>
      <c r="L186" s="695">
        <v>3.6</v>
      </c>
    </row>
    <row r="187" spans="1:12" hidden="1" x14ac:dyDescent="0.2">
      <c r="A187" s="693">
        <v>960.23050192254868</v>
      </c>
      <c r="B187" s="694">
        <v>922.55962500113924</v>
      </c>
      <c r="C187" s="694">
        <v>883.28359349761274</v>
      </c>
      <c r="D187" s="694">
        <v>842.17786209438509</v>
      </c>
      <c r="E187" s="694">
        <v>798.96007175683201</v>
      </c>
      <c r="F187" s="694">
        <v>753.26677951539546</v>
      </c>
      <c r="G187" s="694">
        <v>704.61655244629924</v>
      </c>
      <c r="H187" s="694">
        <v>652.34816688722401</v>
      </c>
      <c r="I187" s="694">
        <v>595.50967725212877</v>
      </c>
      <c r="J187" s="694">
        <v>532.64004783788801</v>
      </c>
      <c r="K187" s="694">
        <v>461.27981250056962</v>
      </c>
      <c r="L187" s="695">
        <v>3.7</v>
      </c>
    </row>
    <row r="188" spans="1:12" hidden="1" x14ac:dyDescent="0.2">
      <c r="A188" s="693">
        <v>983.65538019000519</v>
      </c>
      <c r="B188" s="694">
        <v>945.06552006159973</v>
      </c>
      <c r="C188" s="694">
        <v>904.83134751281705</v>
      </c>
      <c r="D188" s="694">
        <v>862.72283943014895</v>
      </c>
      <c r="E188" s="694">
        <v>818.45074861409751</v>
      </c>
      <c r="F188" s="694">
        <v>771.64276588297957</v>
      </c>
      <c r="G188" s="694">
        <v>721.80571372918143</v>
      </c>
      <c r="H188" s="694">
        <v>668.26223790114841</v>
      </c>
      <c r="I188" s="694">
        <v>610.03717004557132</v>
      </c>
      <c r="J188" s="694">
        <v>545.63383240939834</v>
      </c>
      <c r="K188" s="694">
        <v>472.53276003079986</v>
      </c>
      <c r="L188" s="695">
        <v>3.8</v>
      </c>
    </row>
    <row r="189" spans="1:12" hidden="1" x14ac:dyDescent="0.2">
      <c r="A189" s="693">
        <v>1007.7560298888128</v>
      </c>
      <c r="B189" s="694">
        <v>968.22067531223888</v>
      </c>
      <c r="C189" s="694">
        <v>927.00072083408554</v>
      </c>
      <c r="D189" s="694">
        <v>883.86050751899768</v>
      </c>
      <c r="E189" s="694">
        <v>838.50370128972361</v>
      </c>
      <c r="F189" s="694">
        <v>790.54887097597714</v>
      </c>
      <c r="G189" s="694">
        <v>739.49075567326611</v>
      </c>
      <c r="H189" s="694">
        <v>684.63540519830258</v>
      </c>
      <c r="I189" s="694">
        <v>624.9837584896668</v>
      </c>
      <c r="J189" s="694">
        <v>559.00246752648241</v>
      </c>
      <c r="K189" s="694">
        <v>484.11033765611944</v>
      </c>
      <c r="L189" s="695">
        <v>3.9</v>
      </c>
    </row>
    <row r="190" spans="1:12" ht="13.5" hidden="1" thickBot="1" x14ac:dyDescent="0.25">
      <c r="A190" s="699">
        <v>1032</v>
      </c>
      <c r="B190" s="700">
        <v>991</v>
      </c>
      <c r="C190" s="700">
        <v>949</v>
      </c>
      <c r="D190" s="700">
        <v>905</v>
      </c>
      <c r="E190" s="700">
        <v>859</v>
      </c>
      <c r="F190" s="700">
        <v>809</v>
      </c>
      <c r="G190" s="700">
        <v>757</v>
      </c>
      <c r="H190" s="700">
        <v>701</v>
      </c>
      <c r="I190" s="700">
        <v>640</v>
      </c>
      <c r="J190" s="700">
        <v>572</v>
      </c>
      <c r="K190" s="700">
        <v>496</v>
      </c>
      <c r="L190" s="701">
        <v>4</v>
      </c>
    </row>
  </sheetData>
  <sheetProtection sheet="1" objects="1" scenarios="1"/>
  <mergeCells count="76">
    <mergeCell ref="N162:O162"/>
    <mergeCell ref="N163:O163"/>
    <mergeCell ref="N164:O164"/>
    <mergeCell ref="N156:O156"/>
    <mergeCell ref="N157:O157"/>
    <mergeCell ref="N158:O158"/>
    <mergeCell ref="N159:O159"/>
    <mergeCell ref="N160:O160"/>
    <mergeCell ref="N161:O161"/>
    <mergeCell ref="A154:K154"/>
    <mergeCell ref="L154:L155"/>
    <mergeCell ref="N154:O154"/>
    <mergeCell ref="N155:O155"/>
    <mergeCell ref="N117:O117"/>
    <mergeCell ref="N118:O118"/>
    <mergeCell ref="N119:O119"/>
    <mergeCell ref="N120:O120"/>
    <mergeCell ref="N121:O121"/>
    <mergeCell ref="N122:O122"/>
    <mergeCell ref="N123:O123"/>
    <mergeCell ref="N124:O124"/>
    <mergeCell ref="N125:O125"/>
    <mergeCell ref="A153:L153"/>
    <mergeCell ref="N153:O153"/>
    <mergeCell ref="A115:K115"/>
    <mergeCell ref="L115:L116"/>
    <mergeCell ref="N115:O115"/>
    <mergeCell ref="N116:O116"/>
    <mergeCell ref="N76:O76"/>
    <mergeCell ref="N77:O77"/>
    <mergeCell ref="N78:O78"/>
    <mergeCell ref="N79:O79"/>
    <mergeCell ref="N80:O80"/>
    <mergeCell ref="N81:O81"/>
    <mergeCell ref="N82:O82"/>
    <mergeCell ref="N83:O83"/>
    <mergeCell ref="N84:O84"/>
    <mergeCell ref="A114:L114"/>
    <mergeCell ref="N114:O114"/>
    <mergeCell ref="N50:O50"/>
    <mergeCell ref="A73:L73"/>
    <mergeCell ref="N73:O73"/>
    <mergeCell ref="A74:K74"/>
    <mergeCell ref="L74:L75"/>
    <mergeCell ref="N74:O74"/>
    <mergeCell ref="N75:O75"/>
    <mergeCell ref="N49:O49"/>
    <mergeCell ref="N37:O37"/>
    <mergeCell ref="N38:O38"/>
    <mergeCell ref="N39:O39"/>
    <mergeCell ref="N40:O40"/>
    <mergeCell ref="N41:O41"/>
    <mergeCell ref="N42:O42"/>
    <mergeCell ref="N43:O43"/>
    <mergeCell ref="N44:O44"/>
    <mergeCell ref="N45:O45"/>
    <mergeCell ref="N47:O47"/>
    <mergeCell ref="N48:O48"/>
    <mergeCell ref="A34:L34"/>
    <mergeCell ref="N34:O34"/>
    <mergeCell ref="A35:K35"/>
    <mergeCell ref="L35:L36"/>
    <mergeCell ref="N35:O35"/>
    <mergeCell ref="N36:O36"/>
    <mergeCell ref="A30:C30"/>
    <mergeCell ref="D30:E30"/>
    <mergeCell ref="A31:C31"/>
    <mergeCell ref="D31:E31"/>
    <mergeCell ref="A32:C32"/>
    <mergeCell ref="D32:E32"/>
    <mergeCell ref="A1:I1"/>
    <mergeCell ref="A2:I2"/>
    <mergeCell ref="A28:C28"/>
    <mergeCell ref="D28:E28"/>
    <mergeCell ref="A29:C29"/>
    <mergeCell ref="D29:E29"/>
  </mergeCells>
  <dataValidations count="1">
    <dataValidation type="list" allowBlank="1" showInputMessage="1" showErrorMessage="1" sqref="C6" xr:uid="{74588CFF-3CF1-4AD5-908E-3B96A67785D7}">
      <formula1>$M$35:$M$45</formula1>
    </dataValidation>
  </dataValidation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D114"/>
  <sheetViews>
    <sheetView showGridLines="0" zoomScaleNormal="100" workbookViewId="0">
      <selection activeCell="AT21" sqref="AT21"/>
    </sheetView>
  </sheetViews>
  <sheetFormatPr defaultColWidth="11.140625" defaultRowHeight="12.75" x14ac:dyDescent="0.2"/>
  <cols>
    <col min="1" max="1" width="4.7109375" customWidth="1"/>
    <col min="2" max="2" width="13.85546875" customWidth="1"/>
    <col min="3" max="3" width="9.7109375" customWidth="1"/>
    <col min="4" max="5" width="9.42578125" customWidth="1"/>
    <col min="6" max="7" width="10.7109375" customWidth="1"/>
    <col min="8" max="8" width="8.7109375" customWidth="1"/>
    <col min="9" max="13" width="10.7109375" customWidth="1"/>
    <col min="14" max="14" width="8.7109375" customWidth="1"/>
    <col min="15" max="15" width="8.7109375" hidden="1" customWidth="1"/>
    <col min="16" max="43" width="0" hidden="1" customWidth="1"/>
  </cols>
  <sheetData>
    <row r="1" spans="1:30" ht="21" thickTop="1" x14ac:dyDescent="0.3">
      <c r="A1" s="880" t="s">
        <v>398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251"/>
      <c r="P1" s="250"/>
      <c r="Q1" s="250"/>
      <c r="R1" s="250"/>
      <c r="S1" s="250"/>
      <c r="T1" s="249"/>
    </row>
    <row r="2" spans="1:30" ht="20.25" x14ac:dyDescent="0.3">
      <c r="A2" s="978" t="s">
        <v>859</v>
      </c>
      <c r="B2" s="979"/>
      <c r="C2" s="979"/>
      <c r="D2" s="979"/>
      <c r="E2" s="979"/>
      <c r="F2" s="979"/>
      <c r="G2" s="979"/>
      <c r="H2" s="979"/>
      <c r="I2" s="979"/>
      <c r="J2" s="979"/>
      <c r="K2" s="979"/>
      <c r="L2" s="979"/>
      <c r="M2" s="979"/>
      <c r="N2" s="980"/>
      <c r="O2" s="248"/>
      <c r="T2" s="133"/>
    </row>
    <row r="3" spans="1:30" ht="18.75" thickBot="1" x14ac:dyDescent="0.3">
      <c r="A3" s="247"/>
      <c r="N3" s="23"/>
      <c r="Q3" s="132"/>
      <c r="R3" s="103"/>
      <c r="S3" s="103"/>
      <c r="T3" s="246"/>
      <c r="V3" s="132"/>
      <c r="W3" s="103"/>
      <c r="X3" s="103"/>
      <c r="Y3" s="128"/>
    </row>
    <row r="4" spans="1:30" ht="13.5" thickBot="1" x14ac:dyDescent="0.25">
      <c r="A4" s="24"/>
      <c r="B4" s="25"/>
      <c r="D4" s="19" t="s">
        <v>25</v>
      </c>
      <c r="F4" s="245" t="s">
        <v>533</v>
      </c>
      <c r="G4" s="244"/>
      <c r="H4" s="244"/>
      <c r="I4" s="243"/>
      <c r="J4" s="242" t="s">
        <v>388</v>
      </c>
      <c r="K4" s="242" t="s">
        <v>380</v>
      </c>
      <c r="L4" s="242" t="s">
        <v>518</v>
      </c>
      <c r="M4" s="242" t="s">
        <v>518</v>
      </c>
      <c r="N4" s="241" t="s">
        <v>519</v>
      </c>
      <c r="Q4" s="132"/>
      <c r="R4" s="132"/>
      <c r="S4" s="132"/>
      <c r="T4" s="203"/>
      <c r="U4" s="132"/>
      <c r="V4" s="132"/>
      <c r="W4" s="132"/>
      <c r="X4" s="132"/>
      <c r="Y4" s="132"/>
      <c r="Z4" s="132"/>
    </row>
    <row r="5" spans="1:30" ht="13.5" thickBot="1" x14ac:dyDescent="0.25">
      <c r="A5" s="24"/>
      <c r="B5" s="25" t="s">
        <v>117</v>
      </c>
      <c r="D5" s="433">
        <v>1000</v>
      </c>
      <c r="E5" s="19" t="s">
        <v>69</v>
      </c>
      <c r="F5" s="240" t="s">
        <v>517</v>
      </c>
      <c r="G5" s="239"/>
      <c r="H5" s="239"/>
      <c r="I5" s="238"/>
      <c r="J5" s="237" t="s">
        <v>387</v>
      </c>
      <c r="K5" s="237" t="s">
        <v>370</v>
      </c>
      <c r="L5" s="237" t="s">
        <v>333</v>
      </c>
      <c r="M5" s="237" t="s">
        <v>332</v>
      </c>
      <c r="N5" s="236"/>
      <c r="Q5" s="132"/>
      <c r="R5" s="132"/>
      <c r="S5" s="132"/>
      <c r="T5" s="203"/>
      <c r="U5" s="132"/>
      <c r="V5" s="132"/>
      <c r="W5" s="132"/>
      <c r="X5" s="132"/>
      <c r="Y5" s="132"/>
      <c r="Z5" s="132"/>
    </row>
    <row r="6" spans="1:30" ht="13.5" thickBot="1" x14ac:dyDescent="0.25">
      <c r="A6" s="24"/>
      <c r="B6" s="234"/>
      <c r="C6" s="19"/>
      <c r="D6" s="19"/>
      <c r="F6" s="25"/>
      <c r="G6" s="25"/>
      <c r="H6" s="25"/>
      <c r="I6" s="25"/>
      <c r="J6" s="19"/>
      <c r="K6" s="19"/>
      <c r="L6" s="19"/>
      <c r="M6" s="19"/>
      <c r="N6" s="218"/>
      <c r="Q6" s="132"/>
      <c r="R6" s="132"/>
      <c r="S6" s="132"/>
      <c r="T6" s="203"/>
      <c r="U6" s="132"/>
      <c r="V6" s="132"/>
      <c r="W6" s="132"/>
      <c r="X6" s="132"/>
      <c r="Y6" s="132"/>
      <c r="Z6" s="132"/>
      <c r="AD6" s="234"/>
    </row>
    <row r="7" spans="1:30" ht="13.5" thickBot="1" x14ac:dyDescent="0.25">
      <c r="A7" s="24"/>
      <c r="B7" s="235" t="s">
        <v>523</v>
      </c>
      <c r="C7" s="153" t="s">
        <v>397</v>
      </c>
      <c r="D7" s="152" t="s">
        <v>396</v>
      </c>
      <c r="F7" s="229" t="s">
        <v>520</v>
      </c>
      <c r="G7" s="228"/>
      <c r="H7" s="228"/>
      <c r="I7" s="228"/>
      <c r="J7" s="572">
        <f>VLOOKUP($D$13,$B$32:$N$39,7)</f>
        <v>1020</v>
      </c>
      <c r="K7" s="572">
        <f>VLOOKUP($D$13,$B$32:$N$39,8)</f>
        <v>12</v>
      </c>
      <c r="L7" s="572" t="str">
        <f>VLOOKUP($D$13,$B$32:$N$39,9)</f>
        <v>50-33089</v>
      </c>
      <c r="M7" s="572" t="str">
        <f>VLOOKUP($D$13,$B$32:$N$39,10)</f>
        <v>49-33089</v>
      </c>
      <c r="N7" s="573">
        <f>J7/D5-1</f>
        <v>2.0000000000000018E-2</v>
      </c>
      <c r="Q7" s="132"/>
      <c r="R7" s="132"/>
      <c r="S7" s="132"/>
      <c r="T7" s="203"/>
      <c r="U7" s="132"/>
      <c r="V7" s="132"/>
      <c r="W7" s="132"/>
      <c r="X7" s="132"/>
      <c r="Y7" s="132"/>
      <c r="Z7" s="132"/>
      <c r="AD7" s="234"/>
    </row>
    <row r="8" spans="1:30" ht="13.5" thickBot="1" x14ac:dyDescent="0.25">
      <c r="A8" s="24"/>
      <c r="B8" s="233" t="s">
        <v>395</v>
      </c>
      <c r="C8" s="232" t="s">
        <v>394</v>
      </c>
      <c r="D8" s="201" t="s">
        <v>393</v>
      </c>
      <c r="F8" s="25"/>
      <c r="G8" s="25"/>
      <c r="H8" s="25"/>
      <c r="I8" s="25"/>
      <c r="J8" s="19"/>
      <c r="K8" s="19"/>
      <c r="L8" s="19"/>
      <c r="M8" s="19"/>
      <c r="N8" s="218"/>
      <c r="Q8" s="132"/>
      <c r="R8" s="132"/>
      <c r="S8" s="132"/>
      <c r="T8" s="203"/>
      <c r="U8" s="132"/>
      <c r="V8" s="132"/>
      <c r="W8" s="132"/>
      <c r="X8" s="132"/>
      <c r="Y8" s="132"/>
      <c r="Z8" s="132"/>
    </row>
    <row r="9" spans="1:30" ht="13.5" thickBot="1" x14ac:dyDescent="0.25">
      <c r="A9" s="24"/>
      <c r="B9" s="231" t="s">
        <v>392</v>
      </c>
      <c r="C9" s="230" t="s">
        <v>391</v>
      </c>
      <c r="D9" s="178" t="s">
        <v>390</v>
      </c>
      <c r="F9" s="229" t="s">
        <v>521</v>
      </c>
      <c r="G9" s="228"/>
      <c r="H9" s="228"/>
      <c r="I9" s="228"/>
      <c r="J9" s="572">
        <f>VLOOKUP($D$13,$B$32:$N$39,3)</f>
        <v>861</v>
      </c>
      <c r="K9" s="572">
        <f>VLOOKUP($D$13,$B$32:$N$39,4)</f>
        <v>12</v>
      </c>
      <c r="L9" s="572" t="str">
        <f>VLOOKUP($D$13,$B$32:$N$39,5)</f>
        <v>50-33082</v>
      </c>
      <c r="M9" s="572" t="str">
        <f>VLOOKUP($D$13,$B$32:$N$39,6)</f>
        <v>49-33082</v>
      </c>
      <c r="N9" s="573">
        <f>J9/D5-1</f>
        <v>-0.13900000000000001</v>
      </c>
      <c r="R9" s="19"/>
      <c r="S9" s="19"/>
      <c r="T9" s="154"/>
      <c r="U9" s="19"/>
      <c r="V9" s="19"/>
      <c r="X9" s="128"/>
      <c r="Z9" s="132"/>
    </row>
    <row r="10" spans="1:30" ht="13.5" thickBot="1" x14ac:dyDescent="0.25">
      <c r="A10" s="24"/>
      <c r="B10" s="25"/>
      <c r="D10" s="135"/>
      <c r="E10" s="25"/>
      <c r="F10" s="25"/>
      <c r="G10" s="25"/>
      <c r="H10" s="25"/>
      <c r="I10" s="25"/>
      <c r="J10" s="25"/>
      <c r="K10" s="25"/>
      <c r="L10" s="25"/>
      <c r="M10" s="25"/>
      <c r="N10" s="23"/>
      <c r="P10" s="25"/>
      <c r="R10" s="135"/>
      <c r="S10" s="25"/>
      <c r="T10" s="137"/>
      <c r="V10" s="19"/>
      <c r="Z10" s="132"/>
    </row>
    <row r="11" spans="1:30" ht="13.5" thickBot="1" x14ac:dyDescent="0.25">
      <c r="A11" s="24"/>
      <c r="B11" s="25"/>
      <c r="C11" s="25"/>
      <c r="D11" s="25"/>
      <c r="E11" s="135"/>
      <c r="H11" s="981" t="s">
        <v>522</v>
      </c>
      <c r="I11" s="982"/>
      <c r="J11" s="981" t="s">
        <v>544</v>
      </c>
      <c r="K11" s="982"/>
      <c r="L11" s="981" t="s">
        <v>545</v>
      </c>
      <c r="M11" s="982"/>
      <c r="N11" s="218"/>
      <c r="P11" s="25"/>
      <c r="R11" s="19"/>
      <c r="S11" s="19"/>
      <c r="T11" s="154"/>
      <c r="U11" s="25"/>
      <c r="V11" s="19"/>
      <c r="Z11" s="132"/>
    </row>
    <row r="12" spans="1:30" ht="13.5" thickBot="1" x14ac:dyDescent="0.25">
      <c r="A12" s="24"/>
      <c r="B12" s="25" t="s">
        <v>530</v>
      </c>
      <c r="C12" s="135"/>
      <c r="D12" s="25"/>
      <c r="H12" s="227" t="s">
        <v>389</v>
      </c>
      <c r="I12" s="226" t="s">
        <v>518</v>
      </c>
      <c r="J12" s="227" t="s">
        <v>389</v>
      </c>
      <c r="K12" s="226" t="s">
        <v>518</v>
      </c>
      <c r="L12" s="227" t="s">
        <v>389</v>
      </c>
      <c r="M12" s="226" t="s">
        <v>518</v>
      </c>
      <c r="N12" s="218"/>
      <c r="P12" s="25"/>
      <c r="Q12" s="923"/>
      <c r="R12" s="923"/>
      <c r="S12" s="923"/>
      <c r="T12" s="983"/>
      <c r="U12" s="25"/>
      <c r="V12" s="923"/>
      <c r="W12" s="923"/>
      <c r="X12" s="923"/>
      <c r="Y12" s="923"/>
      <c r="Z12" s="132"/>
      <c r="AD12" s="25"/>
    </row>
    <row r="13" spans="1:30" ht="13.5" thickBot="1" x14ac:dyDescent="0.25">
      <c r="A13" s="24"/>
      <c r="B13" s="25" t="s">
        <v>524</v>
      </c>
      <c r="D13" s="433">
        <v>50</v>
      </c>
      <c r="H13" s="574">
        <f>VLOOKUP($D$13,$B$32:$N$39,1)</f>
        <v>50</v>
      </c>
      <c r="I13" s="574" t="str">
        <f>VLOOKUP($D$13,$B$32:$N$39,11)</f>
        <v>49-9066</v>
      </c>
      <c r="J13" s="574">
        <f>VLOOKUP($D$13,$B$32:$N$39,1)</f>
        <v>50</v>
      </c>
      <c r="K13" s="574" t="str">
        <f>VLOOKUP($D$13,$B$32:$N$39,12)</f>
        <v>49-9064</v>
      </c>
      <c r="L13" s="574">
        <f>VLOOKUP($D$13,$B$32:$N$39,1)</f>
        <v>50</v>
      </c>
      <c r="M13" s="574" t="str">
        <f>VLOOKUP($D$13,$B$32:$N$39,13)</f>
        <v>49-9061</v>
      </c>
      <c r="N13" s="218"/>
      <c r="Q13" s="132"/>
      <c r="R13" s="132"/>
      <c r="S13" s="984"/>
      <c r="T13" s="985"/>
      <c r="V13" s="132"/>
      <c r="W13" s="132"/>
      <c r="X13" s="984"/>
      <c r="Y13" s="984"/>
      <c r="Z13" s="132"/>
      <c r="AD13" s="25"/>
    </row>
    <row r="14" spans="1:30" ht="13.5" thickBot="1" x14ac:dyDescent="0.25">
      <c r="A14" s="24"/>
      <c r="F14" s="25"/>
      <c r="G14" s="25"/>
      <c r="H14" s="25"/>
      <c r="I14" s="25"/>
      <c r="J14" s="25"/>
      <c r="K14" s="25"/>
      <c r="L14" s="25"/>
      <c r="M14" s="25"/>
      <c r="N14" s="218"/>
      <c r="Q14" s="19"/>
      <c r="R14" s="19"/>
      <c r="S14" s="19"/>
      <c r="T14" s="154"/>
      <c r="V14" s="19"/>
      <c r="W14" s="19"/>
      <c r="X14" s="19"/>
      <c r="Y14" s="19"/>
      <c r="Z14" s="132"/>
    </row>
    <row r="15" spans="1:30" ht="13.5" thickBot="1" x14ac:dyDescent="0.25">
      <c r="A15" s="24"/>
      <c r="B15" s="981" t="s">
        <v>525</v>
      </c>
      <c r="C15" s="982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18"/>
      <c r="P15" s="25"/>
      <c r="Q15" s="135"/>
      <c r="R15" s="135"/>
      <c r="S15" s="135"/>
      <c r="T15" s="137"/>
      <c r="U15" s="136"/>
      <c r="V15" s="135"/>
      <c r="W15" s="135"/>
      <c r="X15" s="135"/>
      <c r="Y15" s="135"/>
      <c r="Z15" s="132"/>
    </row>
    <row r="16" spans="1:30" x14ac:dyDescent="0.2">
      <c r="A16" s="24"/>
      <c r="B16" s="224" t="s">
        <v>526</v>
      </c>
      <c r="C16" s="223" t="s">
        <v>388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18"/>
      <c r="P16" s="25"/>
      <c r="Q16" s="135"/>
      <c r="R16" s="135"/>
      <c r="S16" s="135"/>
      <c r="T16" s="137"/>
      <c r="U16" s="136"/>
      <c r="V16" s="135"/>
      <c r="W16" s="135"/>
      <c r="X16" s="135"/>
      <c r="Y16" s="135"/>
      <c r="Z16" s="132"/>
    </row>
    <row r="17" spans="1:26" x14ac:dyDescent="0.2">
      <c r="A17" s="24"/>
      <c r="B17" s="215" t="s">
        <v>24</v>
      </c>
      <c r="C17" s="222" t="s">
        <v>527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18"/>
      <c r="P17" s="25"/>
      <c r="Q17" s="135"/>
      <c r="R17" s="135"/>
      <c r="S17" s="135"/>
      <c r="T17" s="137"/>
      <c r="U17" s="136"/>
      <c r="V17" s="135"/>
      <c r="W17" s="135"/>
      <c r="X17" s="135"/>
      <c r="Y17" s="135"/>
      <c r="Z17" s="132"/>
    </row>
    <row r="18" spans="1:26" ht="13.5" thickBot="1" x14ac:dyDescent="0.25">
      <c r="A18" s="24"/>
      <c r="B18" s="672" t="s">
        <v>371</v>
      </c>
      <c r="C18" s="673" t="s">
        <v>387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18"/>
      <c r="P18" s="25"/>
      <c r="Q18" s="135"/>
      <c r="R18" s="135"/>
      <c r="S18" s="135"/>
      <c r="T18" s="137"/>
      <c r="U18" s="136"/>
      <c r="V18" s="135"/>
      <c r="W18" s="135"/>
      <c r="X18" s="135"/>
      <c r="Y18" s="135"/>
      <c r="Z18" s="132"/>
    </row>
    <row r="19" spans="1:26" x14ac:dyDescent="0.2">
      <c r="A19" s="24"/>
      <c r="B19" s="221">
        <v>15</v>
      </c>
      <c r="C19" s="220" t="s">
        <v>360</v>
      </c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18"/>
      <c r="P19" s="25"/>
      <c r="Q19" s="135"/>
      <c r="R19" s="135"/>
      <c r="S19" s="135"/>
      <c r="T19" s="137"/>
      <c r="U19" s="136"/>
      <c r="V19" s="135"/>
      <c r="W19" s="135"/>
      <c r="X19" s="135"/>
      <c r="Y19" s="135"/>
      <c r="Z19" s="132"/>
    </row>
    <row r="20" spans="1:26" x14ac:dyDescent="0.2">
      <c r="A20" s="24"/>
      <c r="B20" s="674">
        <v>20</v>
      </c>
      <c r="C20" s="675" t="s">
        <v>360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18"/>
      <c r="P20" s="25"/>
      <c r="Q20" s="135"/>
      <c r="R20" s="135"/>
      <c r="S20" s="135"/>
      <c r="T20" s="137"/>
      <c r="U20" s="136"/>
      <c r="V20" s="135"/>
      <c r="W20" s="135"/>
      <c r="X20" s="135"/>
      <c r="Y20" s="135"/>
      <c r="Z20" s="132"/>
    </row>
    <row r="21" spans="1:26" x14ac:dyDescent="0.2">
      <c r="A21" s="24"/>
      <c r="B21" s="676">
        <v>25</v>
      </c>
      <c r="C21" s="677" t="s">
        <v>360</v>
      </c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18"/>
      <c r="P21" s="25"/>
      <c r="Q21" s="135"/>
      <c r="R21" s="135"/>
      <c r="S21" s="135"/>
      <c r="T21" s="137"/>
      <c r="U21" s="136"/>
      <c r="V21" s="135"/>
      <c r="W21" s="135"/>
      <c r="X21" s="135"/>
      <c r="Y21" s="135"/>
      <c r="Z21" s="132"/>
    </row>
    <row r="22" spans="1:26" x14ac:dyDescent="0.2">
      <c r="A22" s="24"/>
      <c r="B22" s="674" t="s">
        <v>356</v>
      </c>
      <c r="C22" s="678" t="s">
        <v>346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18"/>
      <c r="P22" s="25"/>
      <c r="Q22" s="135"/>
      <c r="R22" s="135"/>
      <c r="S22" s="135"/>
      <c r="T22" s="137"/>
      <c r="U22" s="136"/>
      <c r="V22" s="135"/>
      <c r="W22" s="135"/>
      <c r="X22" s="135"/>
      <c r="Y22" s="135"/>
      <c r="Z22" s="132"/>
    </row>
    <row r="23" spans="1:26" x14ac:dyDescent="0.2">
      <c r="A23" s="24"/>
      <c r="B23" s="676">
        <v>32</v>
      </c>
      <c r="C23" s="679" t="s">
        <v>346</v>
      </c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18"/>
      <c r="P23" s="25"/>
      <c r="Q23" s="135"/>
      <c r="R23" s="135"/>
      <c r="S23" s="135"/>
      <c r="T23" s="137"/>
      <c r="U23" s="136"/>
      <c r="V23" s="135"/>
      <c r="W23" s="135"/>
      <c r="X23" s="135"/>
      <c r="Y23" s="135"/>
      <c r="Z23" s="132"/>
    </row>
    <row r="24" spans="1:26" x14ac:dyDescent="0.2">
      <c r="A24" s="24"/>
      <c r="B24" s="674">
        <v>40</v>
      </c>
      <c r="C24" s="678" t="s">
        <v>346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18"/>
      <c r="P24" s="25"/>
      <c r="Q24" s="135"/>
      <c r="R24" s="135"/>
      <c r="S24" s="135"/>
      <c r="T24" s="137"/>
      <c r="U24" s="136"/>
      <c r="V24" s="135"/>
      <c r="W24" s="135"/>
      <c r="X24" s="135"/>
      <c r="Y24" s="135"/>
      <c r="Z24" s="132"/>
    </row>
    <row r="25" spans="1:26" ht="13.5" thickBot="1" x14ac:dyDescent="0.25">
      <c r="A25" s="24"/>
      <c r="B25" s="680">
        <v>50</v>
      </c>
      <c r="C25" s="681" t="s">
        <v>346</v>
      </c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18"/>
      <c r="P25" s="25"/>
      <c r="Q25" s="135"/>
      <c r="R25" s="135"/>
      <c r="S25" s="135"/>
      <c r="T25" s="137"/>
      <c r="U25" s="136"/>
      <c r="V25" s="135"/>
      <c r="W25" s="135"/>
      <c r="X25" s="135"/>
      <c r="Y25" s="135"/>
      <c r="Z25" s="132"/>
    </row>
    <row r="26" spans="1:26" x14ac:dyDescent="0.2">
      <c r="A26" s="24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18"/>
      <c r="P26" s="25"/>
      <c r="Q26" s="135"/>
      <c r="R26" s="135"/>
      <c r="S26" s="135"/>
      <c r="T26" s="137"/>
      <c r="U26" s="136"/>
      <c r="V26" s="135"/>
      <c r="W26" s="135"/>
      <c r="X26" s="135"/>
      <c r="Y26" s="135"/>
      <c r="Z26" s="132"/>
    </row>
    <row r="27" spans="1:26" ht="13.5" thickBot="1" x14ac:dyDescent="0.25">
      <c r="A27" s="29"/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31"/>
      <c r="P27" s="25"/>
      <c r="Q27" s="216"/>
      <c r="R27" s="135"/>
      <c r="S27" s="135"/>
      <c r="T27" s="137"/>
      <c r="U27" s="136"/>
      <c r="V27" s="135"/>
      <c r="W27" s="135"/>
      <c r="X27" s="135"/>
      <c r="Y27" s="135"/>
      <c r="Z27" s="132"/>
    </row>
    <row r="28" spans="1:26" ht="14.25" hidden="1" thickTop="1" thickBot="1" x14ac:dyDescent="0.25">
      <c r="A28" s="149"/>
      <c r="B28" s="986" t="s">
        <v>386</v>
      </c>
      <c r="C28" s="987"/>
      <c r="D28" s="988" t="s">
        <v>385</v>
      </c>
      <c r="E28" s="989"/>
      <c r="F28" s="989"/>
      <c r="G28" s="990"/>
      <c r="H28" s="988" t="s">
        <v>384</v>
      </c>
      <c r="I28" s="989"/>
      <c r="J28" s="989"/>
      <c r="K28" s="990"/>
      <c r="L28" s="991" t="s">
        <v>383</v>
      </c>
      <c r="M28" s="992"/>
      <c r="N28" s="993"/>
      <c r="P28" s="25"/>
      <c r="Q28" s="135"/>
      <c r="R28" s="135"/>
      <c r="S28" s="135"/>
      <c r="T28" s="137"/>
      <c r="U28" s="136"/>
      <c r="V28" s="135"/>
      <c r="Z28" s="132"/>
    </row>
    <row r="29" spans="1:26" ht="13.5" hidden="1" thickTop="1" x14ac:dyDescent="0.2">
      <c r="A29" s="149"/>
      <c r="B29" s="215" t="s">
        <v>382</v>
      </c>
      <c r="C29" s="214" t="s">
        <v>381</v>
      </c>
      <c r="D29" s="199" t="s">
        <v>381</v>
      </c>
      <c r="E29" s="198" t="s">
        <v>380</v>
      </c>
      <c r="F29" s="197" t="s">
        <v>379</v>
      </c>
      <c r="G29" s="196" t="s">
        <v>379</v>
      </c>
      <c r="H29" s="199" t="s">
        <v>381</v>
      </c>
      <c r="I29" s="198" t="s">
        <v>380</v>
      </c>
      <c r="J29" s="197" t="s">
        <v>379</v>
      </c>
      <c r="K29" s="196" t="s">
        <v>379</v>
      </c>
      <c r="L29" s="206" t="s">
        <v>379</v>
      </c>
      <c r="M29" s="205" t="s">
        <v>379</v>
      </c>
      <c r="N29" s="204" t="s">
        <v>379</v>
      </c>
      <c r="P29" s="25"/>
      <c r="Q29" s="135"/>
      <c r="R29" s="135"/>
      <c r="S29" s="135"/>
      <c r="T29" s="137"/>
      <c r="U29" s="136"/>
      <c r="V29" s="135"/>
      <c r="Z29" s="132"/>
    </row>
    <row r="30" spans="1:26" ht="13.5" hidden="1" thickTop="1" x14ac:dyDescent="0.2">
      <c r="A30" s="161"/>
      <c r="B30" s="202" t="s">
        <v>24</v>
      </c>
      <c r="C30" s="189" t="s">
        <v>378</v>
      </c>
      <c r="D30" s="186" t="s">
        <v>377</v>
      </c>
      <c r="E30" s="185"/>
      <c r="F30" s="184" t="s">
        <v>376</v>
      </c>
      <c r="G30" s="183" t="s">
        <v>375</v>
      </c>
      <c r="H30" s="186" t="s">
        <v>377</v>
      </c>
      <c r="I30" s="185"/>
      <c r="J30" s="184" t="s">
        <v>376</v>
      </c>
      <c r="K30" s="183" t="s">
        <v>375</v>
      </c>
      <c r="L30" s="148" t="s">
        <v>374</v>
      </c>
      <c r="M30" s="213" t="s">
        <v>373</v>
      </c>
      <c r="N30" s="181" t="s">
        <v>372</v>
      </c>
      <c r="Q30" s="132"/>
      <c r="R30" s="132"/>
      <c r="S30" s="132"/>
      <c r="T30" s="133"/>
      <c r="V30" s="132"/>
      <c r="W30" s="132"/>
      <c r="X30" s="132"/>
    </row>
    <row r="31" spans="1:26" ht="14.25" hidden="1" thickTop="1" thickBot="1" x14ac:dyDescent="0.25">
      <c r="A31" s="161"/>
      <c r="B31" s="212" t="s">
        <v>371</v>
      </c>
      <c r="C31" s="211" t="s">
        <v>337</v>
      </c>
      <c r="D31" s="177" t="s">
        <v>337</v>
      </c>
      <c r="E31" s="176" t="s">
        <v>370</v>
      </c>
      <c r="F31" s="175" t="s">
        <v>369</v>
      </c>
      <c r="G31" s="174" t="s">
        <v>368</v>
      </c>
      <c r="H31" s="177" t="s">
        <v>337</v>
      </c>
      <c r="I31" s="176" t="s">
        <v>370</v>
      </c>
      <c r="J31" s="175" t="s">
        <v>369</v>
      </c>
      <c r="K31" s="174" t="s">
        <v>368</v>
      </c>
      <c r="L31" s="210" t="s">
        <v>367</v>
      </c>
      <c r="M31" s="172" t="s">
        <v>367</v>
      </c>
      <c r="N31" s="209" t="s">
        <v>367</v>
      </c>
      <c r="Q31" s="132"/>
      <c r="R31" s="132"/>
      <c r="S31" s="132"/>
      <c r="T31" s="203"/>
      <c r="U31" s="132"/>
      <c r="V31" s="132"/>
      <c r="W31" s="132"/>
      <c r="X31" s="132"/>
      <c r="Y31" s="132"/>
      <c r="Z31" s="132"/>
    </row>
    <row r="32" spans="1:26" ht="13.5" hidden="1" thickTop="1" x14ac:dyDescent="0.2">
      <c r="A32" s="149"/>
      <c r="B32" s="208">
        <v>15</v>
      </c>
      <c r="C32" s="207" t="s">
        <v>360</v>
      </c>
      <c r="D32" s="199">
        <f>VLOOKUP($D$5,$B$46:$I$89,1)</f>
        <v>936</v>
      </c>
      <c r="E32" s="185">
        <f>VLOOKUP($D$5,$B$46:$I$89,2)</f>
        <v>21</v>
      </c>
      <c r="F32" s="197" t="str">
        <f>VLOOKUP($D$5,$B$46:$I$89,3)</f>
        <v>50-11750</v>
      </c>
      <c r="G32" s="196" t="str">
        <f>VLOOKUP($D$5,$B$46:$I$89,4)</f>
        <v>49-11750</v>
      </c>
      <c r="H32" s="199">
        <f>VLOOKUP($D$5,$B$46:$I$89,5)</f>
        <v>1020</v>
      </c>
      <c r="I32" s="198">
        <f>VLOOKUP($D$5,$B$46:$I$89,6)</f>
        <v>22</v>
      </c>
      <c r="J32" s="197" t="str">
        <f>VLOOKUP($D$5,$B$46:$I$89,7)</f>
        <v>50-20700</v>
      </c>
      <c r="K32" s="196" t="str">
        <f>VLOOKUP($D$5,$B$46:$I$89,8)</f>
        <v>49-20700</v>
      </c>
      <c r="L32" s="206" t="s">
        <v>366</v>
      </c>
      <c r="M32" s="205" t="s">
        <v>365</v>
      </c>
      <c r="N32" s="204" t="s">
        <v>364</v>
      </c>
      <c r="Q32" s="132"/>
      <c r="R32" s="132"/>
      <c r="S32" s="132"/>
      <c r="T32" s="203"/>
      <c r="U32" s="132"/>
      <c r="V32" s="132"/>
      <c r="W32" s="132"/>
      <c r="X32" s="132"/>
      <c r="Y32" s="132"/>
      <c r="Z32" s="132"/>
    </row>
    <row r="33" spans="1:26" ht="13.5" hidden="1" thickTop="1" x14ac:dyDescent="0.2">
      <c r="A33" s="149"/>
      <c r="B33" s="202">
        <v>20</v>
      </c>
      <c r="C33" s="201" t="s">
        <v>360</v>
      </c>
      <c r="D33" s="199">
        <f>VLOOKUP($D$5,$B$46:$I$89,1)</f>
        <v>936</v>
      </c>
      <c r="E33" s="185">
        <f>VLOOKUP($D$5,$B$46:$I$89,2)</f>
        <v>21</v>
      </c>
      <c r="F33" s="197" t="str">
        <f>VLOOKUP($D$5,$B$46:$I$89,3)</f>
        <v>50-11750</v>
      </c>
      <c r="G33" s="196" t="str">
        <f>VLOOKUP($D$5,$B$46:$I$89,4)</f>
        <v>49-11750</v>
      </c>
      <c r="H33" s="199">
        <f>VLOOKUP($D$5,$B$46:$I$89,5)</f>
        <v>1020</v>
      </c>
      <c r="I33" s="198">
        <f>VLOOKUP($D$5,$B$46:$I$89,6)</f>
        <v>22</v>
      </c>
      <c r="J33" s="197" t="str">
        <f>VLOOKUP($D$5,$B$46:$I$89,7)</f>
        <v>50-20700</v>
      </c>
      <c r="K33" s="196" t="str">
        <f>VLOOKUP($D$5,$B$46:$I$89,8)</f>
        <v>49-20700</v>
      </c>
      <c r="L33" s="148" t="s">
        <v>363</v>
      </c>
      <c r="M33" s="182" t="s">
        <v>362</v>
      </c>
      <c r="N33" s="181" t="s">
        <v>361</v>
      </c>
      <c r="T33" s="133"/>
      <c r="V33" s="132"/>
      <c r="W33" s="132"/>
      <c r="X33" s="132"/>
      <c r="Y33" s="132"/>
      <c r="Z33" s="132"/>
    </row>
    <row r="34" spans="1:26" ht="13.5" hidden="1" thickTop="1" x14ac:dyDescent="0.2">
      <c r="A34" s="161"/>
      <c r="B34" s="188">
        <v>25</v>
      </c>
      <c r="C34" s="200" t="s">
        <v>360</v>
      </c>
      <c r="D34" s="199">
        <f>VLOOKUP($D$5,$B$46:$I$89,1)</f>
        <v>936</v>
      </c>
      <c r="E34" s="185">
        <f>VLOOKUP($D$5,$B$46:$I$89,2)</f>
        <v>21</v>
      </c>
      <c r="F34" s="197" t="str">
        <f>VLOOKUP($D$5,$B$46:$I$89,3)</f>
        <v>50-11750</v>
      </c>
      <c r="G34" s="196" t="str">
        <f>VLOOKUP($D$5,$B$46:$I$89,4)</f>
        <v>49-11750</v>
      </c>
      <c r="H34" s="199">
        <f>VLOOKUP($D$5,$B$46:$I$89,5)</f>
        <v>1020</v>
      </c>
      <c r="I34" s="198">
        <f>VLOOKUP($D$5,$B$46:$I$89,6)</f>
        <v>22</v>
      </c>
      <c r="J34" s="197" t="str">
        <f>VLOOKUP($D$5,$B$46:$I$89,7)</f>
        <v>50-20700</v>
      </c>
      <c r="K34" s="196" t="str">
        <f>VLOOKUP($D$5,$B$46:$I$89,8)</f>
        <v>49-20700</v>
      </c>
      <c r="L34" s="148" t="s">
        <v>359</v>
      </c>
      <c r="M34" s="182" t="s">
        <v>358</v>
      </c>
      <c r="N34" s="181" t="s">
        <v>357</v>
      </c>
      <c r="T34" s="133"/>
    </row>
    <row r="35" spans="1:26" ht="13.9" hidden="1" customHeight="1" x14ac:dyDescent="0.2">
      <c r="A35" s="161"/>
      <c r="B35" s="190"/>
      <c r="C35" s="189"/>
      <c r="D35" s="194"/>
      <c r="E35" s="193"/>
      <c r="F35" s="195"/>
      <c r="G35" s="191"/>
      <c r="H35" s="194"/>
      <c r="I35" s="193"/>
      <c r="J35" s="192"/>
      <c r="K35" s="191"/>
      <c r="L35" s="148"/>
      <c r="M35" s="182"/>
      <c r="N35" s="181"/>
      <c r="R35" s="129"/>
      <c r="T35" s="133"/>
      <c r="Z35" s="128"/>
    </row>
    <row r="36" spans="1:26" ht="13.9" hidden="1" customHeight="1" x14ac:dyDescent="0.2">
      <c r="A36" s="161"/>
      <c r="B36" s="188" t="s">
        <v>356</v>
      </c>
      <c r="C36" s="187" t="s">
        <v>346</v>
      </c>
      <c r="D36" s="186">
        <f>VLOOKUP($D$5,$J$46:$Q$89,1)</f>
        <v>861</v>
      </c>
      <c r="E36" s="185">
        <f>VLOOKUP($D$5,$J$46:$Q$89,2)</f>
        <v>12</v>
      </c>
      <c r="F36" s="184" t="str">
        <f>VLOOKUP($D$5,$J$46:$Q$89,3)</f>
        <v>50-33082</v>
      </c>
      <c r="G36" s="183" t="str">
        <f>VLOOKUP($D$5,$J$46:$Q$89,4)</f>
        <v>49-33082</v>
      </c>
      <c r="H36" s="186">
        <f>VLOOKUP($D$5,$J$46:$Q$89,5)</f>
        <v>1020</v>
      </c>
      <c r="I36" s="185">
        <f>VLOOKUP($D$5,$J$46:$Q$89,6)</f>
        <v>12</v>
      </c>
      <c r="J36" s="184" t="str">
        <f>VLOOKUP($D$5,$J$46:$Q$89,7)</f>
        <v>50-33089</v>
      </c>
      <c r="K36" s="183" t="str">
        <f>VLOOKUP($D$5,$J$46:$Q$89,8)</f>
        <v>49-33089</v>
      </c>
      <c r="L36" s="148" t="s">
        <v>355</v>
      </c>
      <c r="M36" s="182" t="s">
        <v>354</v>
      </c>
      <c r="N36" s="181" t="s">
        <v>353</v>
      </c>
      <c r="T36" s="133"/>
    </row>
    <row r="37" spans="1:26" ht="13.9" hidden="1" customHeight="1" x14ac:dyDescent="0.2">
      <c r="A37" s="161"/>
      <c r="B37" s="190">
        <v>32</v>
      </c>
      <c r="C37" s="189" t="s">
        <v>346</v>
      </c>
      <c r="D37" s="186">
        <f>VLOOKUP($D$5,$J$46:$Q$89,1)</f>
        <v>861</v>
      </c>
      <c r="E37" s="185">
        <f>VLOOKUP($D$5,$J$46:$Q$89,2)</f>
        <v>12</v>
      </c>
      <c r="F37" s="184" t="str">
        <f>VLOOKUP($D$5,$J$46:$Q$89,3)</f>
        <v>50-33082</v>
      </c>
      <c r="G37" s="183" t="str">
        <f>VLOOKUP($D$5,$J$46:$Q$89,4)</f>
        <v>49-33082</v>
      </c>
      <c r="H37" s="186">
        <f>VLOOKUP($D$5,$J$46:$Q$89,5)</f>
        <v>1020</v>
      </c>
      <c r="I37" s="185">
        <f>VLOOKUP($D$5,$J$46:$Q$89,6)</f>
        <v>12</v>
      </c>
      <c r="J37" s="184" t="str">
        <f>VLOOKUP($D$5,$J$46:$Q$89,7)</f>
        <v>50-33089</v>
      </c>
      <c r="K37" s="183" t="str">
        <f>VLOOKUP($D$5,$J$46:$Q$89,8)</f>
        <v>49-33089</v>
      </c>
      <c r="L37" s="148" t="s">
        <v>352</v>
      </c>
      <c r="M37" s="182" t="s">
        <v>351</v>
      </c>
      <c r="N37" s="181" t="s">
        <v>350</v>
      </c>
      <c r="R37" s="129"/>
      <c r="T37" s="133"/>
    </row>
    <row r="38" spans="1:26" ht="13.9" hidden="1" customHeight="1" x14ac:dyDescent="0.2">
      <c r="A38" s="161"/>
      <c r="B38" s="188">
        <v>40</v>
      </c>
      <c r="C38" s="187" t="s">
        <v>346</v>
      </c>
      <c r="D38" s="186">
        <f>VLOOKUP($D$5,$J$46:$Q$89,1)</f>
        <v>861</v>
      </c>
      <c r="E38" s="185">
        <f>VLOOKUP($D$5,$J$46:$Q$89,2)</f>
        <v>12</v>
      </c>
      <c r="F38" s="184" t="str">
        <f>VLOOKUP($D$5,$J$46:$Q$89,3)</f>
        <v>50-33082</v>
      </c>
      <c r="G38" s="183" t="str">
        <f>VLOOKUP($D$5,$J$46:$Q$89,4)</f>
        <v>49-33082</v>
      </c>
      <c r="H38" s="186">
        <f>VLOOKUP($D$5,$J$46:$Q$89,5)</f>
        <v>1020</v>
      </c>
      <c r="I38" s="185">
        <f>VLOOKUP($D$5,$J$46:$Q$89,6)</f>
        <v>12</v>
      </c>
      <c r="J38" s="184" t="str">
        <f>VLOOKUP($D$5,$J$46:$Q$89,7)</f>
        <v>50-33089</v>
      </c>
      <c r="K38" s="183" t="str">
        <f>VLOOKUP($D$5,$J$46:$Q$89,8)</f>
        <v>49-33089</v>
      </c>
      <c r="L38" s="148" t="s">
        <v>349</v>
      </c>
      <c r="M38" s="182" t="s">
        <v>348</v>
      </c>
      <c r="N38" s="181" t="s">
        <v>347</v>
      </c>
      <c r="T38" s="133"/>
    </row>
    <row r="39" spans="1:26" ht="13.9" hidden="1" customHeight="1" thickBot="1" x14ac:dyDescent="0.25">
      <c r="A39" s="180"/>
      <c r="B39" s="179">
        <v>50</v>
      </c>
      <c r="C39" s="178" t="s">
        <v>346</v>
      </c>
      <c r="D39" s="177">
        <f>VLOOKUP($D$5,$J$46:$Q$89,1)</f>
        <v>861</v>
      </c>
      <c r="E39" s="176">
        <f>VLOOKUP($D$5,$J$46:$Q$89,2)</f>
        <v>12</v>
      </c>
      <c r="F39" s="175" t="str">
        <f>VLOOKUP($D$5,$J$46:$Q$89,3)</f>
        <v>50-33082</v>
      </c>
      <c r="G39" s="174" t="str">
        <f>VLOOKUP($D$5,$J$46:$Q$89,4)</f>
        <v>49-33082</v>
      </c>
      <c r="H39" s="177">
        <f>VLOOKUP($D$5,$J$46:$Q$89,5)</f>
        <v>1020</v>
      </c>
      <c r="I39" s="176">
        <f>VLOOKUP($D$5,$J$46:$Q$89,6)</f>
        <v>12</v>
      </c>
      <c r="J39" s="175" t="str">
        <f>VLOOKUP($D$5,$J$46:$Q$89,7)</f>
        <v>50-33089</v>
      </c>
      <c r="K39" s="174" t="str">
        <f>VLOOKUP($D$5,$J$46:$Q$89,8)</f>
        <v>49-33089</v>
      </c>
      <c r="L39" s="173" t="s">
        <v>345</v>
      </c>
      <c r="M39" s="172" t="s">
        <v>344</v>
      </c>
      <c r="N39" s="171" t="s">
        <v>343</v>
      </c>
      <c r="O39" s="131"/>
      <c r="P39" s="131"/>
      <c r="Q39" s="131"/>
      <c r="R39" s="131"/>
      <c r="S39" s="131"/>
      <c r="T39" s="130"/>
    </row>
    <row r="40" spans="1:26" ht="28.15" hidden="1" customHeight="1" x14ac:dyDescent="0.2">
      <c r="A40" s="161"/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R40" s="128"/>
      <c r="T40" s="133"/>
    </row>
    <row r="41" spans="1:26" ht="28.15" hidden="1" customHeight="1" thickBot="1" x14ac:dyDescent="0.25">
      <c r="A41" s="161"/>
      <c r="B41" s="135"/>
      <c r="C41" s="19"/>
      <c r="D41" s="135"/>
      <c r="E41" s="25"/>
      <c r="F41" s="25"/>
      <c r="G41" s="25"/>
      <c r="H41" s="25"/>
      <c r="I41" s="135"/>
      <c r="J41" s="25"/>
      <c r="K41" s="25"/>
      <c r="R41" s="128"/>
      <c r="T41" s="133"/>
    </row>
    <row r="42" spans="1:26" ht="28.15" hidden="1" customHeight="1" thickBot="1" x14ac:dyDescent="0.25">
      <c r="A42" s="149"/>
      <c r="B42" s="994" t="s">
        <v>342</v>
      </c>
      <c r="C42" s="994"/>
      <c r="D42" s="994"/>
      <c r="E42" s="994"/>
      <c r="F42" s="994"/>
      <c r="G42" s="994"/>
      <c r="H42" s="994"/>
      <c r="I42" s="995"/>
      <c r="J42" s="995" t="s">
        <v>341</v>
      </c>
      <c r="K42" s="996"/>
      <c r="L42" s="996"/>
      <c r="M42" s="996"/>
      <c r="N42" s="996"/>
      <c r="O42" s="996"/>
      <c r="P42" s="996"/>
      <c r="Q42" s="997"/>
      <c r="R42" s="128" t="s">
        <v>340</v>
      </c>
      <c r="T42" s="133"/>
    </row>
    <row r="43" spans="1:26" ht="28.15" hidden="1" customHeight="1" x14ac:dyDescent="0.2">
      <c r="A43" s="149"/>
      <c r="B43" s="998" t="s">
        <v>339</v>
      </c>
      <c r="C43" s="999"/>
      <c r="D43" s="999"/>
      <c r="E43" s="999"/>
      <c r="F43" s="999" t="s">
        <v>338</v>
      </c>
      <c r="G43" s="999"/>
      <c r="H43" s="999"/>
      <c r="I43" s="1000"/>
      <c r="J43" s="1001" t="s">
        <v>339</v>
      </c>
      <c r="K43" s="1002"/>
      <c r="L43" s="1002"/>
      <c r="M43" s="1002"/>
      <c r="N43" s="1003" t="s">
        <v>338</v>
      </c>
      <c r="O43" s="1004"/>
      <c r="P43" s="1004"/>
      <c r="Q43" s="1005"/>
      <c r="T43" s="133"/>
    </row>
    <row r="44" spans="1:26" ht="28.15" hidden="1" customHeight="1" x14ac:dyDescent="0.2">
      <c r="A44" s="149"/>
      <c r="B44" s="165" t="s">
        <v>337</v>
      </c>
      <c r="C44" s="2" t="s">
        <v>4</v>
      </c>
      <c r="D44" s="1008" t="s">
        <v>336</v>
      </c>
      <c r="E44" s="1008"/>
      <c r="F44" s="2" t="s">
        <v>337</v>
      </c>
      <c r="G44" s="2" t="s">
        <v>4</v>
      </c>
      <c r="H44" s="1008" t="s">
        <v>336</v>
      </c>
      <c r="I44" s="1009"/>
      <c r="J44" s="165" t="s">
        <v>337</v>
      </c>
      <c r="K44" s="2" t="s">
        <v>4</v>
      </c>
      <c r="L44" s="1008" t="s">
        <v>336</v>
      </c>
      <c r="M44" s="1008"/>
      <c r="N44" s="169" t="s">
        <v>337</v>
      </c>
      <c r="O44" s="169" t="s">
        <v>4</v>
      </c>
      <c r="P44" s="1010" t="s">
        <v>336</v>
      </c>
      <c r="Q44" s="1010"/>
      <c r="R44" s="128" t="s">
        <v>335</v>
      </c>
      <c r="T44" s="133"/>
    </row>
    <row r="45" spans="1:26" ht="28.15" hidden="1" customHeight="1" x14ac:dyDescent="0.2">
      <c r="A45" s="149"/>
      <c r="B45" s="165"/>
      <c r="C45" s="2" t="s">
        <v>334</v>
      </c>
      <c r="D45" s="2" t="s">
        <v>333</v>
      </c>
      <c r="E45" s="2" t="s">
        <v>332</v>
      </c>
      <c r="F45" s="2"/>
      <c r="G45" s="2" t="s">
        <v>334</v>
      </c>
      <c r="H45" s="2" t="s">
        <v>333</v>
      </c>
      <c r="I45" s="168" t="s">
        <v>332</v>
      </c>
      <c r="J45" s="165"/>
      <c r="K45" s="2" t="s">
        <v>334</v>
      </c>
      <c r="L45" s="2" t="s">
        <v>333</v>
      </c>
      <c r="M45" s="2" t="s">
        <v>332</v>
      </c>
      <c r="N45" s="2"/>
      <c r="O45" s="2" t="s">
        <v>334</v>
      </c>
      <c r="P45" s="2" t="s">
        <v>333</v>
      </c>
      <c r="Q45" s="2" t="s">
        <v>332</v>
      </c>
      <c r="T45" s="133"/>
    </row>
    <row r="46" spans="1:26" ht="28.15" hidden="1" customHeight="1" x14ac:dyDescent="0.2">
      <c r="A46" s="149"/>
      <c r="B46" s="165">
        <v>0</v>
      </c>
      <c r="C46" s="167"/>
      <c r="D46" s="167"/>
      <c r="E46" s="167"/>
      <c r="F46" s="2">
        <v>25</v>
      </c>
      <c r="G46" s="2">
        <v>7</v>
      </c>
      <c r="H46" s="3" t="s">
        <v>331</v>
      </c>
      <c r="I46" s="166" t="s">
        <v>324</v>
      </c>
      <c r="J46" s="157">
        <v>0</v>
      </c>
      <c r="K46" s="3"/>
      <c r="L46" s="3"/>
      <c r="M46" s="3"/>
      <c r="N46" s="3">
        <v>674</v>
      </c>
      <c r="O46" s="3">
        <v>12</v>
      </c>
      <c r="P46" s="3" t="s">
        <v>330</v>
      </c>
      <c r="Q46" s="3" t="s">
        <v>329</v>
      </c>
      <c r="T46" s="133"/>
    </row>
    <row r="47" spans="1:26" ht="28.15" hidden="1" customHeight="1" x14ac:dyDescent="0.2">
      <c r="A47" s="149"/>
      <c r="B47" s="165">
        <v>25</v>
      </c>
      <c r="C47" s="2">
        <v>7</v>
      </c>
      <c r="D47" s="3" t="s">
        <v>331</v>
      </c>
      <c r="E47" s="49" t="s">
        <v>324</v>
      </c>
      <c r="F47" s="2">
        <v>36</v>
      </c>
      <c r="G47" s="2">
        <v>7</v>
      </c>
      <c r="H47" s="3" t="s">
        <v>328</v>
      </c>
      <c r="I47" s="166" t="s">
        <v>324</v>
      </c>
      <c r="J47" s="157">
        <v>674</v>
      </c>
      <c r="K47" s="3">
        <v>12</v>
      </c>
      <c r="L47" s="3" t="s">
        <v>330</v>
      </c>
      <c r="M47" s="3" t="s">
        <v>329</v>
      </c>
      <c r="N47" s="3">
        <v>861</v>
      </c>
      <c r="O47" s="3">
        <v>12</v>
      </c>
      <c r="P47" s="3" t="s">
        <v>327</v>
      </c>
      <c r="Q47" s="3" t="s">
        <v>326</v>
      </c>
      <c r="T47" s="133"/>
    </row>
    <row r="48" spans="1:26" ht="28.15" hidden="1" customHeight="1" x14ac:dyDescent="0.2">
      <c r="A48" s="149"/>
      <c r="B48" s="165">
        <v>36</v>
      </c>
      <c r="C48" s="2">
        <v>7</v>
      </c>
      <c r="D48" s="3" t="s">
        <v>328</v>
      </c>
      <c r="E48" s="49" t="s">
        <v>324</v>
      </c>
      <c r="F48" s="2">
        <v>43</v>
      </c>
      <c r="G48" s="2">
        <v>7</v>
      </c>
      <c r="H48" s="3" t="s">
        <v>325</v>
      </c>
      <c r="I48" s="166" t="s">
        <v>324</v>
      </c>
      <c r="J48" s="157">
        <v>861</v>
      </c>
      <c r="K48" s="3">
        <v>12</v>
      </c>
      <c r="L48" s="3" t="s">
        <v>327</v>
      </c>
      <c r="M48" s="3" t="s">
        <v>326</v>
      </c>
      <c r="N48" s="3">
        <v>1020</v>
      </c>
      <c r="O48" s="3">
        <v>12</v>
      </c>
      <c r="P48" s="3" t="s">
        <v>323</v>
      </c>
      <c r="Q48" s="3" t="s">
        <v>322</v>
      </c>
      <c r="T48" s="133"/>
    </row>
    <row r="49" spans="1:20" ht="28.15" hidden="1" customHeight="1" x14ac:dyDescent="0.2">
      <c r="A49" s="149"/>
      <c r="B49" s="165">
        <v>43</v>
      </c>
      <c r="C49" s="2">
        <v>7</v>
      </c>
      <c r="D49" s="3" t="s">
        <v>325</v>
      </c>
      <c r="E49" s="49" t="s">
        <v>324</v>
      </c>
      <c r="F49" s="2">
        <v>55</v>
      </c>
      <c r="G49" s="2">
        <v>7</v>
      </c>
      <c r="H49" s="3" t="s">
        <v>321</v>
      </c>
      <c r="I49" s="158" t="s">
        <v>320</v>
      </c>
      <c r="J49" s="157">
        <v>1020</v>
      </c>
      <c r="K49" s="3">
        <v>12</v>
      </c>
      <c r="L49" s="3" t="s">
        <v>323</v>
      </c>
      <c r="M49" s="3" t="s">
        <v>322</v>
      </c>
      <c r="N49" s="3">
        <v>1136</v>
      </c>
      <c r="O49" s="3">
        <v>12</v>
      </c>
      <c r="P49" s="3" t="s">
        <v>319</v>
      </c>
      <c r="Q49" s="3" t="s">
        <v>318</v>
      </c>
      <c r="T49" s="133"/>
    </row>
    <row r="50" spans="1:20" ht="28.15" hidden="1" customHeight="1" x14ac:dyDescent="0.2">
      <c r="A50" s="149"/>
      <c r="B50" s="165">
        <v>55</v>
      </c>
      <c r="C50" s="2">
        <v>7</v>
      </c>
      <c r="D50" s="3" t="s">
        <v>321</v>
      </c>
      <c r="E50" s="3" t="s">
        <v>320</v>
      </c>
      <c r="F50" s="2">
        <v>75</v>
      </c>
      <c r="G50" s="2">
        <v>8</v>
      </c>
      <c r="H50" s="3" t="s">
        <v>317</v>
      </c>
      <c r="I50" s="158" t="s">
        <v>316</v>
      </c>
      <c r="J50" s="157">
        <v>1136</v>
      </c>
      <c r="K50" s="3">
        <v>12</v>
      </c>
      <c r="L50" s="3" t="s">
        <v>319</v>
      </c>
      <c r="M50" s="3" t="s">
        <v>318</v>
      </c>
      <c r="N50" s="3">
        <v>1190</v>
      </c>
      <c r="O50" s="3">
        <v>12</v>
      </c>
      <c r="P50" s="3" t="s">
        <v>315</v>
      </c>
      <c r="Q50" s="3" t="s">
        <v>314</v>
      </c>
      <c r="T50" s="133"/>
    </row>
    <row r="51" spans="1:20" ht="28.15" hidden="1" customHeight="1" x14ac:dyDescent="0.2">
      <c r="A51" s="149"/>
      <c r="B51" s="165">
        <v>75</v>
      </c>
      <c r="C51" s="2">
        <v>8</v>
      </c>
      <c r="D51" s="3" t="s">
        <v>317</v>
      </c>
      <c r="E51" s="3" t="s">
        <v>316</v>
      </c>
      <c r="F51" s="2">
        <v>84</v>
      </c>
      <c r="G51" s="2">
        <v>9</v>
      </c>
      <c r="H51" s="3" t="s">
        <v>313</v>
      </c>
      <c r="I51" s="158" t="s">
        <v>312</v>
      </c>
      <c r="J51" s="157">
        <v>1190</v>
      </c>
      <c r="K51" s="3">
        <v>12</v>
      </c>
      <c r="L51" s="3" t="s">
        <v>315</v>
      </c>
      <c r="M51" s="3" t="s">
        <v>314</v>
      </c>
      <c r="N51" s="3">
        <v>1272</v>
      </c>
      <c r="O51" s="3">
        <v>13</v>
      </c>
      <c r="P51" s="3" t="s">
        <v>311</v>
      </c>
      <c r="Q51" s="3" t="s">
        <v>310</v>
      </c>
      <c r="T51" s="133"/>
    </row>
    <row r="52" spans="1:20" ht="28.15" hidden="1" customHeight="1" x14ac:dyDescent="0.2">
      <c r="A52" s="149"/>
      <c r="B52" s="165">
        <v>84</v>
      </c>
      <c r="C52" s="2">
        <v>9</v>
      </c>
      <c r="D52" s="3" t="s">
        <v>313</v>
      </c>
      <c r="E52" s="3" t="s">
        <v>312</v>
      </c>
      <c r="F52" s="2">
        <v>104</v>
      </c>
      <c r="G52" s="2">
        <v>10</v>
      </c>
      <c r="H52" s="3" t="s">
        <v>309</v>
      </c>
      <c r="I52" s="158" t="s">
        <v>308</v>
      </c>
      <c r="J52" s="157">
        <v>1272</v>
      </c>
      <c r="K52" s="3">
        <v>13</v>
      </c>
      <c r="L52" s="3" t="s">
        <v>311</v>
      </c>
      <c r="M52" s="3" t="s">
        <v>310</v>
      </c>
      <c r="N52" s="3">
        <v>1349</v>
      </c>
      <c r="O52" s="3">
        <v>13</v>
      </c>
      <c r="P52" s="3" t="s">
        <v>307</v>
      </c>
      <c r="Q52" s="3" t="s">
        <v>306</v>
      </c>
      <c r="T52" s="133"/>
    </row>
    <row r="53" spans="1:20" ht="28.15" hidden="1" customHeight="1" x14ac:dyDescent="0.2">
      <c r="A53" s="149"/>
      <c r="B53" s="165">
        <v>104</v>
      </c>
      <c r="C53" s="2">
        <v>10</v>
      </c>
      <c r="D53" s="3" t="s">
        <v>309</v>
      </c>
      <c r="E53" s="3" t="s">
        <v>308</v>
      </c>
      <c r="F53" s="2">
        <v>114</v>
      </c>
      <c r="G53" s="2">
        <v>10</v>
      </c>
      <c r="H53" s="3" t="s">
        <v>305</v>
      </c>
      <c r="I53" s="158" t="s">
        <v>304</v>
      </c>
      <c r="J53" s="157">
        <v>1349</v>
      </c>
      <c r="K53" s="3">
        <v>13</v>
      </c>
      <c r="L53" s="3" t="s">
        <v>307</v>
      </c>
      <c r="M53" s="3" t="s">
        <v>306</v>
      </c>
      <c r="N53" s="3">
        <v>1485</v>
      </c>
      <c r="O53" s="3">
        <v>13</v>
      </c>
      <c r="P53" s="3" t="s">
        <v>303</v>
      </c>
      <c r="Q53" s="3" t="s">
        <v>302</v>
      </c>
      <c r="T53" s="133"/>
    </row>
    <row r="54" spans="1:20" ht="28.15" hidden="1" customHeight="1" x14ac:dyDescent="0.2">
      <c r="A54" s="149"/>
      <c r="B54" s="165">
        <v>114</v>
      </c>
      <c r="C54" s="2">
        <v>10</v>
      </c>
      <c r="D54" s="3" t="s">
        <v>305</v>
      </c>
      <c r="E54" s="3" t="s">
        <v>304</v>
      </c>
      <c r="F54" s="2">
        <v>129</v>
      </c>
      <c r="G54" s="2">
        <v>11</v>
      </c>
      <c r="H54" s="3" t="s">
        <v>301</v>
      </c>
      <c r="I54" s="158" t="s">
        <v>300</v>
      </c>
      <c r="J54" s="157">
        <v>1485</v>
      </c>
      <c r="K54" s="3">
        <v>13</v>
      </c>
      <c r="L54" s="3" t="s">
        <v>303</v>
      </c>
      <c r="M54" s="3" t="s">
        <v>302</v>
      </c>
      <c r="N54" s="3">
        <v>1567</v>
      </c>
      <c r="O54" s="3">
        <v>14</v>
      </c>
      <c r="P54" s="3" t="s">
        <v>299</v>
      </c>
      <c r="Q54" s="3" t="s">
        <v>298</v>
      </c>
      <c r="T54" s="133"/>
    </row>
    <row r="55" spans="1:20" ht="28.15" hidden="1" customHeight="1" x14ac:dyDescent="0.2">
      <c r="A55" s="149"/>
      <c r="B55" s="165">
        <v>129</v>
      </c>
      <c r="C55" s="2">
        <v>11</v>
      </c>
      <c r="D55" s="3" t="s">
        <v>301</v>
      </c>
      <c r="E55" s="3" t="s">
        <v>300</v>
      </c>
      <c r="F55" s="2">
        <v>154</v>
      </c>
      <c r="G55" s="2">
        <v>11</v>
      </c>
      <c r="H55" s="3" t="s">
        <v>297</v>
      </c>
      <c r="I55" s="158" t="s">
        <v>296</v>
      </c>
      <c r="J55" s="157">
        <v>1567</v>
      </c>
      <c r="K55" s="3">
        <v>14</v>
      </c>
      <c r="L55" s="3" t="s">
        <v>299</v>
      </c>
      <c r="M55" s="3" t="s">
        <v>298</v>
      </c>
      <c r="N55" s="3">
        <v>1631</v>
      </c>
      <c r="O55" s="3">
        <v>14</v>
      </c>
      <c r="P55" s="3" t="s">
        <v>295</v>
      </c>
      <c r="Q55" s="3" t="s">
        <v>294</v>
      </c>
      <c r="T55" s="133"/>
    </row>
    <row r="56" spans="1:20" ht="28.15" hidden="1" customHeight="1" x14ac:dyDescent="0.2">
      <c r="A56" s="149"/>
      <c r="B56" s="165">
        <v>154</v>
      </c>
      <c r="C56" s="2">
        <v>11</v>
      </c>
      <c r="D56" s="3" t="s">
        <v>297</v>
      </c>
      <c r="E56" s="3" t="s">
        <v>296</v>
      </c>
      <c r="F56" s="49">
        <v>175</v>
      </c>
      <c r="G56" s="49">
        <v>12</v>
      </c>
      <c r="H56" s="3" t="s">
        <v>293</v>
      </c>
      <c r="I56" s="158" t="s">
        <v>292</v>
      </c>
      <c r="J56" s="157">
        <v>1631</v>
      </c>
      <c r="K56" s="3">
        <v>14</v>
      </c>
      <c r="L56" s="3" t="s">
        <v>295</v>
      </c>
      <c r="M56" s="3" t="s">
        <v>294</v>
      </c>
      <c r="N56" s="3">
        <v>1815</v>
      </c>
      <c r="O56" s="3">
        <v>14</v>
      </c>
      <c r="P56" s="3" t="s">
        <v>291</v>
      </c>
      <c r="Q56" s="3" t="s">
        <v>290</v>
      </c>
      <c r="T56" s="133"/>
    </row>
    <row r="57" spans="1:20" ht="28.15" hidden="1" customHeight="1" x14ac:dyDescent="0.2">
      <c r="A57" s="162"/>
      <c r="B57" s="160">
        <v>175</v>
      </c>
      <c r="C57" s="49">
        <v>12</v>
      </c>
      <c r="D57" s="3" t="s">
        <v>293</v>
      </c>
      <c r="E57" s="3" t="s">
        <v>292</v>
      </c>
      <c r="F57" s="164">
        <v>204</v>
      </c>
      <c r="G57" s="49">
        <v>12</v>
      </c>
      <c r="H57" s="3" t="s">
        <v>289</v>
      </c>
      <c r="I57" s="158" t="s">
        <v>288</v>
      </c>
      <c r="J57" s="157">
        <v>1815</v>
      </c>
      <c r="K57" s="3">
        <v>14</v>
      </c>
      <c r="L57" s="3" t="s">
        <v>291</v>
      </c>
      <c r="M57" s="3" t="s">
        <v>290</v>
      </c>
      <c r="N57" s="3">
        <v>2001</v>
      </c>
      <c r="O57" s="3">
        <v>15</v>
      </c>
      <c r="P57" s="3" t="s">
        <v>287</v>
      </c>
      <c r="Q57" s="3" t="s">
        <v>286</v>
      </c>
      <c r="T57" s="133"/>
    </row>
    <row r="58" spans="1:20" ht="28.15" hidden="1" customHeight="1" x14ac:dyDescent="0.2">
      <c r="A58" s="162"/>
      <c r="B58" s="163">
        <v>204</v>
      </c>
      <c r="C58" s="49">
        <v>12</v>
      </c>
      <c r="D58" s="3" t="s">
        <v>289</v>
      </c>
      <c r="E58" s="3" t="s">
        <v>288</v>
      </c>
      <c r="F58" s="49">
        <v>241</v>
      </c>
      <c r="G58" s="49">
        <v>12</v>
      </c>
      <c r="H58" s="3" t="s">
        <v>285</v>
      </c>
      <c r="I58" s="158" t="s">
        <v>284</v>
      </c>
      <c r="J58" s="157">
        <v>2001</v>
      </c>
      <c r="K58" s="3">
        <v>15</v>
      </c>
      <c r="L58" s="3" t="s">
        <v>287</v>
      </c>
      <c r="M58" s="3" t="s">
        <v>286</v>
      </c>
      <c r="N58" s="3">
        <v>2044</v>
      </c>
      <c r="O58" s="3">
        <v>16</v>
      </c>
      <c r="P58" s="3" t="s">
        <v>283</v>
      </c>
      <c r="Q58" s="3" t="s">
        <v>282</v>
      </c>
      <c r="T58" s="133"/>
    </row>
    <row r="59" spans="1:20" ht="28.15" hidden="1" customHeight="1" x14ac:dyDescent="0.2">
      <c r="A59" s="162"/>
      <c r="B59" s="160">
        <v>241</v>
      </c>
      <c r="C59" s="49">
        <v>12</v>
      </c>
      <c r="D59" s="3" t="s">
        <v>285</v>
      </c>
      <c r="E59" s="3" t="s">
        <v>284</v>
      </c>
      <c r="F59" s="49">
        <v>279</v>
      </c>
      <c r="G59" s="49">
        <v>12</v>
      </c>
      <c r="H59" s="3" t="s">
        <v>281</v>
      </c>
      <c r="I59" s="158" t="s">
        <v>280</v>
      </c>
      <c r="J59" s="157">
        <v>2044</v>
      </c>
      <c r="K59" s="3">
        <v>16</v>
      </c>
      <c r="L59" s="3" t="s">
        <v>283</v>
      </c>
      <c r="M59" s="3" t="s">
        <v>282</v>
      </c>
      <c r="N59" s="3">
        <v>2171</v>
      </c>
      <c r="O59" s="3">
        <v>16</v>
      </c>
      <c r="P59" s="3" t="s">
        <v>279</v>
      </c>
      <c r="Q59" s="3" t="s">
        <v>278</v>
      </c>
      <c r="T59" s="133"/>
    </row>
    <row r="60" spans="1:20" ht="28.15" hidden="1" customHeight="1" x14ac:dyDescent="0.2">
      <c r="A60" s="161"/>
      <c r="B60" s="160">
        <v>279</v>
      </c>
      <c r="C60" s="49">
        <v>12</v>
      </c>
      <c r="D60" s="3" t="s">
        <v>281</v>
      </c>
      <c r="E60" s="3" t="s">
        <v>280</v>
      </c>
      <c r="F60" s="49">
        <v>320</v>
      </c>
      <c r="G60" s="49">
        <v>13</v>
      </c>
      <c r="H60" s="3" t="s">
        <v>277</v>
      </c>
      <c r="I60" s="158" t="s">
        <v>276</v>
      </c>
      <c r="J60" s="157">
        <v>2171</v>
      </c>
      <c r="K60" s="3">
        <v>16</v>
      </c>
      <c r="L60" s="3" t="s">
        <v>279</v>
      </c>
      <c r="M60" s="3" t="s">
        <v>278</v>
      </c>
      <c r="N60" s="3">
        <v>2271</v>
      </c>
      <c r="O60" s="3">
        <v>17</v>
      </c>
      <c r="P60" s="3" t="s">
        <v>275</v>
      </c>
      <c r="Q60" s="3" t="s">
        <v>274</v>
      </c>
      <c r="T60" s="133"/>
    </row>
    <row r="61" spans="1:20" ht="28.15" hidden="1" customHeight="1" x14ac:dyDescent="0.2">
      <c r="A61" s="149"/>
      <c r="B61" s="160">
        <v>320</v>
      </c>
      <c r="C61" s="49">
        <v>13</v>
      </c>
      <c r="D61" s="3" t="s">
        <v>277</v>
      </c>
      <c r="E61" s="3" t="s">
        <v>276</v>
      </c>
      <c r="F61" s="49">
        <v>350</v>
      </c>
      <c r="G61" s="49">
        <v>13</v>
      </c>
      <c r="H61" s="3" t="s">
        <v>273</v>
      </c>
      <c r="I61" s="158" t="s">
        <v>272</v>
      </c>
      <c r="J61" s="157">
        <v>2271</v>
      </c>
      <c r="K61" s="3">
        <v>17</v>
      </c>
      <c r="L61" s="3" t="s">
        <v>275</v>
      </c>
      <c r="M61" s="3" t="s">
        <v>274</v>
      </c>
      <c r="N61" s="3">
        <v>2380</v>
      </c>
      <c r="O61" s="3">
        <v>17</v>
      </c>
      <c r="P61" s="3" t="s">
        <v>271</v>
      </c>
      <c r="Q61" s="3" t="s">
        <v>270</v>
      </c>
      <c r="T61" s="133"/>
    </row>
    <row r="62" spans="1:20" ht="28.15" hidden="1" customHeight="1" x14ac:dyDescent="0.2">
      <c r="A62" s="149"/>
      <c r="B62" s="160">
        <v>350</v>
      </c>
      <c r="C62" s="49">
        <v>13</v>
      </c>
      <c r="D62" s="3" t="s">
        <v>273</v>
      </c>
      <c r="E62" s="3" t="s">
        <v>272</v>
      </c>
      <c r="F62" s="49">
        <v>400</v>
      </c>
      <c r="G62" s="49">
        <v>13</v>
      </c>
      <c r="H62" s="3" t="s">
        <v>269</v>
      </c>
      <c r="I62" s="158" t="s">
        <v>268</v>
      </c>
      <c r="J62" s="157">
        <v>2380</v>
      </c>
      <c r="K62" s="3">
        <v>17</v>
      </c>
      <c r="L62" s="3" t="s">
        <v>271</v>
      </c>
      <c r="M62" s="3" t="s">
        <v>270</v>
      </c>
      <c r="N62" s="3">
        <v>2498</v>
      </c>
      <c r="O62" s="3">
        <v>18</v>
      </c>
      <c r="P62" s="3" t="s">
        <v>267</v>
      </c>
      <c r="Q62" s="3" t="s">
        <v>266</v>
      </c>
      <c r="T62" s="133"/>
    </row>
    <row r="63" spans="1:20" ht="28.15" hidden="1" customHeight="1" x14ac:dyDescent="0.2">
      <c r="A63" s="149"/>
      <c r="B63" s="160">
        <v>400</v>
      </c>
      <c r="C63" s="49">
        <v>13</v>
      </c>
      <c r="D63" s="3" t="s">
        <v>269</v>
      </c>
      <c r="E63" s="3" t="s">
        <v>268</v>
      </c>
      <c r="F63" s="49">
        <v>477</v>
      </c>
      <c r="G63" s="49">
        <v>14</v>
      </c>
      <c r="H63" s="3" t="s">
        <v>265</v>
      </c>
      <c r="I63" s="158" t="s">
        <v>264</v>
      </c>
      <c r="J63" s="157">
        <v>2498</v>
      </c>
      <c r="K63" s="3">
        <v>18</v>
      </c>
      <c r="L63" s="3" t="s">
        <v>267</v>
      </c>
      <c r="M63" s="3" t="s">
        <v>266</v>
      </c>
      <c r="N63" s="3">
        <v>2639</v>
      </c>
      <c r="O63" s="3">
        <v>18</v>
      </c>
      <c r="P63" s="3" t="s">
        <v>263</v>
      </c>
      <c r="Q63" s="3" t="s">
        <v>262</v>
      </c>
      <c r="T63" s="133"/>
    </row>
    <row r="64" spans="1:20" ht="28.15" hidden="1" customHeight="1" x14ac:dyDescent="0.2">
      <c r="A64" s="149"/>
      <c r="B64" s="160">
        <v>477</v>
      </c>
      <c r="C64" s="49">
        <v>14</v>
      </c>
      <c r="D64" s="3" t="s">
        <v>265</v>
      </c>
      <c r="E64" s="3" t="s">
        <v>264</v>
      </c>
      <c r="F64" s="49">
        <v>545</v>
      </c>
      <c r="G64" s="49">
        <v>14</v>
      </c>
      <c r="H64" s="3" t="s">
        <v>261</v>
      </c>
      <c r="I64" s="158" t="s">
        <v>260</v>
      </c>
      <c r="J64" s="157">
        <v>2639</v>
      </c>
      <c r="K64" s="3">
        <v>18</v>
      </c>
      <c r="L64" s="3" t="s">
        <v>263</v>
      </c>
      <c r="M64" s="3" t="s">
        <v>262</v>
      </c>
      <c r="N64" s="3">
        <v>2871</v>
      </c>
      <c r="O64" s="3">
        <v>19</v>
      </c>
      <c r="P64" s="3" t="s">
        <v>259</v>
      </c>
      <c r="Q64" s="3" t="s">
        <v>258</v>
      </c>
      <c r="T64" s="133"/>
    </row>
    <row r="65" spans="1:20" ht="28.15" hidden="1" customHeight="1" x14ac:dyDescent="0.2">
      <c r="A65" s="149"/>
      <c r="B65" s="160">
        <v>545</v>
      </c>
      <c r="C65" s="49">
        <v>14</v>
      </c>
      <c r="D65" s="3" t="s">
        <v>261</v>
      </c>
      <c r="E65" s="3" t="s">
        <v>260</v>
      </c>
      <c r="F65" s="49">
        <v>615</v>
      </c>
      <c r="G65" s="49">
        <v>14</v>
      </c>
      <c r="H65" s="3" t="s">
        <v>257</v>
      </c>
      <c r="I65" s="158" t="s">
        <v>256</v>
      </c>
      <c r="J65" s="157">
        <v>2871</v>
      </c>
      <c r="K65" s="3">
        <v>19</v>
      </c>
      <c r="L65" s="3" t="s">
        <v>259</v>
      </c>
      <c r="M65" s="3" t="s">
        <v>258</v>
      </c>
      <c r="N65" s="3">
        <v>3191</v>
      </c>
      <c r="O65" s="3">
        <v>21</v>
      </c>
      <c r="P65" s="3" t="s">
        <v>255</v>
      </c>
      <c r="Q65" s="3" t="s">
        <v>254</v>
      </c>
      <c r="T65" s="133"/>
    </row>
    <row r="66" spans="1:20" ht="28.15" hidden="1" customHeight="1" x14ac:dyDescent="0.2">
      <c r="A66" s="149"/>
      <c r="B66" s="160">
        <v>615</v>
      </c>
      <c r="C66" s="49">
        <v>14</v>
      </c>
      <c r="D66" s="3" t="s">
        <v>257</v>
      </c>
      <c r="E66" s="3" t="s">
        <v>256</v>
      </c>
      <c r="F66" s="49">
        <v>670</v>
      </c>
      <c r="G66" s="49">
        <v>14</v>
      </c>
      <c r="H66" s="3" t="s">
        <v>253</v>
      </c>
      <c r="I66" s="158" t="s">
        <v>252</v>
      </c>
      <c r="J66" s="157">
        <v>3191</v>
      </c>
      <c r="K66" s="3">
        <v>21</v>
      </c>
      <c r="L66" s="3" t="s">
        <v>255</v>
      </c>
      <c r="M66" s="3" t="s">
        <v>254</v>
      </c>
      <c r="N66" s="3">
        <v>3407</v>
      </c>
      <c r="O66" s="3">
        <v>22</v>
      </c>
      <c r="P66" s="3" t="s">
        <v>251</v>
      </c>
      <c r="Q66" s="3" t="s">
        <v>250</v>
      </c>
      <c r="T66" s="133"/>
    </row>
    <row r="67" spans="1:20" ht="28.15" hidden="1" customHeight="1" x14ac:dyDescent="0.2">
      <c r="A67" s="149"/>
      <c r="B67" s="160">
        <v>670</v>
      </c>
      <c r="C67" s="49">
        <v>14</v>
      </c>
      <c r="D67" s="3" t="s">
        <v>253</v>
      </c>
      <c r="E67" s="3" t="s">
        <v>252</v>
      </c>
      <c r="F67" s="49">
        <v>736</v>
      </c>
      <c r="G67" s="49">
        <v>14</v>
      </c>
      <c r="H67" s="3" t="s">
        <v>249</v>
      </c>
      <c r="I67" s="158" t="s">
        <v>248</v>
      </c>
      <c r="J67" s="157">
        <v>3407</v>
      </c>
      <c r="K67" s="3">
        <v>22</v>
      </c>
      <c r="L67" s="3" t="s">
        <v>251</v>
      </c>
      <c r="M67" s="3" t="s">
        <v>250</v>
      </c>
      <c r="N67" s="3">
        <v>3486</v>
      </c>
      <c r="O67" s="3">
        <v>22</v>
      </c>
      <c r="P67" s="3" t="s">
        <v>247</v>
      </c>
      <c r="Q67" s="3" t="s">
        <v>246</v>
      </c>
      <c r="T67" s="133"/>
    </row>
    <row r="68" spans="1:20" ht="28.15" hidden="1" customHeight="1" x14ac:dyDescent="0.2">
      <c r="A68" s="149"/>
      <c r="B68" s="160">
        <v>736</v>
      </c>
      <c r="C68" s="49">
        <v>14</v>
      </c>
      <c r="D68" s="3" t="s">
        <v>249</v>
      </c>
      <c r="E68" s="3" t="s">
        <v>248</v>
      </c>
      <c r="F68" s="49">
        <v>799</v>
      </c>
      <c r="G68" s="49">
        <v>16</v>
      </c>
      <c r="H68" s="3" t="s">
        <v>245</v>
      </c>
      <c r="I68" s="158" t="s">
        <v>244</v>
      </c>
      <c r="J68" s="157">
        <v>3486</v>
      </c>
      <c r="K68" s="3">
        <v>22</v>
      </c>
      <c r="L68" s="3" t="s">
        <v>247</v>
      </c>
      <c r="M68" s="3" t="s">
        <v>246</v>
      </c>
      <c r="N68" s="3">
        <v>3634</v>
      </c>
      <c r="O68" s="3">
        <v>20</v>
      </c>
      <c r="P68" s="3" t="s">
        <v>243</v>
      </c>
      <c r="Q68" s="3" t="s">
        <v>242</v>
      </c>
      <c r="T68" s="133"/>
    </row>
    <row r="69" spans="1:20" ht="28.15" hidden="1" customHeight="1" x14ac:dyDescent="0.2">
      <c r="A69" s="149"/>
      <c r="B69" s="160">
        <v>799</v>
      </c>
      <c r="C69" s="49">
        <v>16</v>
      </c>
      <c r="D69" s="3" t="s">
        <v>245</v>
      </c>
      <c r="E69" s="3" t="s">
        <v>244</v>
      </c>
      <c r="F69" s="49">
        <v>870</v>
      </c>
      <c r="G69" s="49">
        <v>19</v>
      </c>
      <c r="H69" s="3" t="s">
        <v>241</v>
      </c>
      <c r="I69" s="158" t="s">
        <v>240</v>
      </c>
      <c r="J69" s="157">
        <v>3634</v>
      </c>
      <c r="K69" s="3">
        <v>20</v>
      </c>
      <c r="L69" s="3" t="s">
        <v>243</v>
      </c>
      <c r="M69" s="3" t="s">
        <v>242</v>
      </c>
      <c r="N69" s="3">
        <v>3681</v>
      </c>
      <c r="O69" s="3">
        <v>21</v>
      </c>
      <c r="P69" s="3" t="s">
        <v>239</v>
      </c>
      <c r="Q69" s="3" t="s">
        <v>238</v>
      </c>
      <c r="T69" s="133"/>
    </row>
    <row r="70" spans="1:20" ht="28.15" hidden="1" customHeight="1" x14ac:dyDescent="0.2">
      <c r="A70" s="149"/>
      <c r="B70" s="160">
        <v>870</v>
      </c>
      <c r="C70" s="49">
        <v>19</v>
      </c>
      <c r="D70" s="3" t="s">
        <v>241</v>
      </c>
      <c r="E70" s="3" t="s">
        <v>240</v>
      </c>
      <c r="F70" s="49">
        <v>936</v>
      </c>
      <c r="G70" s="49">
        <v>21</v>
      </c>
      <c r="H70" s="3" t="s">
        <v>237</v>
      </c>
      <c r="I70" s="158" t="s">
        <v>236</v>
      </c>
      <c r="J70" s="157">
        <v>3681</v>
      </c>
      <c r="K70" s="3">
        <v>21</v>
      </c>
      <c r="L70" s="3" t="s">
        <v>239</v>
      </c>
      <c r="M70" s="3" t="s">
        <v>238</v>
      </c>
      <c r="N70" s="3">
        <v>4088</v>
      </c>
      <c r="O70" s="3">
        <v>21</v>
      </c>
      <c r="P70" s="3" t="s">
        <v>235</v>
      </c>
      <c r="Q70" s="3" t="s">
        <v>234</v>
      </c>
      <c r="T70" s="133"/>
    </row>
    <row r="71" spans="1:20" ht="28.15" hidden="1" customHeight="1" x14ac:dyDescent="0.2">
      <c r="A71" s="149"/>
      <c r="B71" s="160">
        <v>936</v>
      </c>
      <c r="C71" s="49">
        <v>21</v>
      </c>
      <c r="D71" s="3" t="s">
        <v>237</v>
      </c>
      <c r="E71" s="3" t="s">
        <v>236</v>
      </c>
      <c r="F71" s="49">
        <v>1020</v>
      </c>
      <c r="G71" s="49">
        <v>22</v>
      </c>
      <c r="H71" s="3" t="s">
        <v>233</v>
      </c>
      <c r="I71" s="158" t="s">
        <v>232</v>
      </c>
      <c r="J71" s="157">
        <v>4088</v>
      </c>
      <c r="K71" s="3">
        <v>21</v>
      </c>
      <c r="L71" s="3" t="s">
        <v>235</v>
      </c>
      <c r="M71" s="3" t="s">
        <v>234</v>
      </c>
      <c r="N71" s="3">
        <v>4315</v>
      </c>
      <c r="O71" s="3">
        <v>21</v>
      </c>
      <c r="P71" s="3" t="s">
        <v>231</v>
      </c>
      <c r="Q71" s="3" t="s">
        <v>230</v>
      </c>
      <c r="T71" s="133"/>
    </row>
    <row r="72" spans="1:20" ht="28.15" hidden="1" customHeight="1" x14ac:dyDescent="0.2">
      <c r="A72" s="149"/>
      <c r="B72" s="160">
        <v>1020</v>
      </c>
      <c r="C72" s="49">
        <v>22</v>
      </c>
      <c r="D72" s="3" t="s">
        <v>233</v>
      </c>
      <c r="E72" s="3" t="s">
        <v>232</v>
      </c>
      <c r="F72" s="49">
        <v>1081</v>
      </c>
      <c r="G72" s="49">
        <v>22</v>
      </c>
      <c r="H72" s="3" t="s">
        <v>229</v>
      </c>
      <c r="I72" s="158" t="s">
        <v>228</v>
      </c>
      <c r="J72" s="157">
        <v>4315</v>
      </c>
      <c r="K72" s="3">
        <v>21</v>
      </c>
      <c r="L72" s="3" t="s">
        <v>231</v>
      </c>
      <c r="M72" s="3" t="s">
        <v>230</v>
      </c>
      <c r="N72" s="3">
        <v>4542</v>
      </c>
      <c r="O72" s="3">
        <v>22</v>
      </c>
      <c r="P72" s="3" t="s">
        <v>227</v>
      </c>
      <c r="Q72" s="3" t="s">
        <v>226</v>
      </c>
      <c r="T72" s="133"/>
    </row>
    <row r="73" spans="1:20" ht="28.15" hidden="1" customHeight="1" x14ac:dyDescent="0.2">
      <c r="A73" s="149"/>
      <c r="B73" s="160">
        <v>1081</v>
      </c>
      <c r="C73" s="49">
        <v>22</v>
      </c>
      <c r="D73" s="3" t="s">
        <v>229</v>
      </c>
      <c r="E73" s="3" t="s">
        <v>228</v>
      </c>
      <c r="F73" s="49">
        <v>1195</v>
      </c>
      <c r="G73" s="49">
        <v>22</v>
      </c>
      <c r="H73" s="3" t="s">
        <v>225</v>
      </c>
      <c r="I73" s="158" t="s">
        <v>224</v>
      </c>
      <c r="J73" s="157">
        <v>4542</v>
      </c>
      <c r="K73" s="3">
        <v>22</v>
      </c>
      <c r="L73" s="3" t="s">
        <v>227</v>
      </c>
      <c r="M73" s="3" t="s">
        <v>226</v>
      </c>
      <c r="N73" s="3">
        <v>4769</v>
      </c>
      <c r="O73" s="3">
        <v>22</v>
      </c>
      <c r="P73" s="3" t="s">
        <v>223</v>
      </c>
      <c r="Q73" s="3" t="s">
        <v>222</v>
      </c>
      <c r="T73" s="133"/>
    </row>
    <row r="74" spans="1:20" ht="28.15" hidden="1" customHeight="1" x14ac:dyDescent="0.2">
      <c r="A74" s="149"/>
      <c r="B74" s="160">
        <v>1195</v>
      </c>
      <c r="C74" s="49">
        <v>22</v>
      </c>
      <c r="D74" s="3" t="s">
        <v>225</v>
      </c>
      <c r="E74" s="3" t="s">
        <v>224</v>
      </c>
      <c r="F74" s="49">
        <v>1335</v>
      </c>
      <c r="G74" s="49">
        <v>23</v>
      </c>
      <c r="H74" s="3" t="s">
        <v>221</v>
      </c>
      <c r="I74" s="158" t="s">
        <v>220</v>
      </c>
      <c r="J74" s="157">
        <v>4769</v>
      </c>
      <c r="K74" s="3">
        <v>22</v>
      </c>
      <c r="L74" s="3" t="s">
        <v>223</v>
      </c>
      <c r="M74" s="3" t="s">
        <v>222</v>
      </c>
      <c r="N74" s="3">
        <v>4996</v>
      </c>
      <c r="O74" s="3">
        <v>23</v>
      </c>
      <c r="P74" s="3" t="s">
        <v>219</v>
      </c>
      <c r="Q74" s="3" t="s">
        <v>218</v>
      </c>
      <c r="T74" s="133"/>
    </row>
    <row r="75" spans="1:20" ht="28.15" hidden="1" customHeight="1" x14ac:dyDescent="0.2">
      <c r="A75" s="149"/>
      <c r="B75" s="160">
        <v>1335</v>
      </c>
      <c r="C75" s="49">
        <v>23</v>
      </c>
      <c r="D75" s="3" t="s">
        <v>221</v>
      </c>
      <c r="E75" s="3" t="s">
        <v>220</v>
      </c>
      <c r="F75" s="49">
        <v>1483</v>
      </c>
      <c r="G75" s="49">
        <v>23</v>
      </c>
      <c r="H75" s="3" t="s">
        <v>217</v>
      </c>
      <c r="I75" s="158" t="s">
        <v>216</v>
      </c>
      <c r="J75" s="157">
        <v>4996</v>
      </c>
      <c r="K75" s="3">
        <v>23</v>
      </c>
      <c r="L75" s="3" t="s">
        <v>219</v>
      </c>
      <c r="M75" s="3" t="s">
        <v>218</v>
      </c>
      <c r="N75" s="3">
        <v>5450</v>
      </c>
      <c r="O75" s="3">
        <v>24</v>
      </c>
      <c r="P75" s="3" t="s">
        <v>215</v>
      </c>
      <c r="Q75" s="3" t="s">
        <v>214</v>
      </c>
      <c r="T75" s="133"/>
    </row>
    <row r="76" spans="1:20" ht="28.15" hidden="1" customHeight="1" x14ac:dyDescent="0.2">
      <c r="A76" s="149"/>
      <c r="B76" s="160">
        <v>1483</v>
      </c>
      <c r="C76" s="49">
        <v>23</v>
      </c>
      <c r="D76" s="3" t="s">
        <v>217</v>
      </c>
      <c r="E76" s="3" t="s">
        <v>216</v>
      </c>
      <c r="F76" s="49">
        <v>1581</v>
      </c>
      <c r="G76" s="49">
        <v>23</v>
      </c>
      <c r="H76" s="3" t="s">
        <v>213</v>
      </c>
      <c r="I76" s="158" t="s">
        <v>212</v>
      </c>
      <c r="J76" s="157">
        <v>5450</v>
      </c>
      <c r="K76" s="3">
        <v>24</v>
      </c>
      <c r="L76" s="3" t="s">
        <v>215</v>
      </c>
      <c r="M76" s="3" t="s">
        <v>214</v>
      </c>
      <c r="N76" s="3">
        <v>5905</v>
      </c>
      <c r="O76" s="3">
        <v>25</v>
      </c>
      <c r="P76" s="3" t="s">
        <v>211</v>
      </c>
      <c r="Q76" s="3" t="s">
        <v>210</v>
      </c>
      <c r="T76" s="133"/>
    </row>
    <row r="77" spans="1:20" ht="28.15" hidden="1" customHeight="1" x14ac:dyDescent="0.2">
      <c r="A77" s="149"/>
      <c r="B77" s="160">
        <v>1581</v>
      </c>
      <c r="C77" s="49">
        <v>23</v>
      </c>
      <c r="D77" s="3" t="s">
        <v>213</v>
      </c>
      <c r="E77" s="3" t="s">
        <v>212</v>
      </c>
      <c r="F77" s="49">
        <v>1774</v>
      </c>
      <c r="G77" s="49">
        <v>24</v>
      </c>
      <c r="H77" s="3" t="s">
        <v>209</v>
      </c>
      <c r="I77" s="158" t="s">
        <v>208</v>
      </c>
      <c r="J77" s="157">
        <v>5905</v>
      </c>
      <c r="K77" s="3">
        <v>25</v>
      </c>
      <c r="L77" s="3" t="s">
        <v>211</v>
      </c>
      <c r="M77" s="3" t="s">
        <v>210</v>
      </c>
      <c r="N77" s="3">
        <v>6539</v>
      </c>
      <c r="O77" s="3">
        <v>26</v>
      </c>
      <c r="P77" s="3" t="s">
        <v>207</v>
      </c>
      <c r="Q77" s="3" t="s">
        <v>206</v>
      </c>
      <c r="T77" s="133"/>
    </row>
    <row r="78" spans="1:20" ht="28.15" hidden="1" customHeight="1" x14ac:dyDescent="0.2">
      <c r="A78" s="149"/>
      <c r="B78" s="160">
        <v>1774</v>
      </c>
      <c r="C78" s="49">
        <v>24</v>
      </c>
      <c r="D78" s="3" t="s">
        <v>209</v>
      </c>
      <c r="E78" s="3" t="s">
        <v>208</v>
      </c>
      <c r="F78" s="49">
        <v>1883</v>
      </c>
      <c r="G78" s="49">
        <v>24</v>
      </c>
      <c r="H78" s="3" t="s">
        <v>205</v>
      </c>
      <c r="I78" s="158" t="s">
        <v>204</v>
      </c>
      <c r="J78" s="157">
        <v>6539</v>
      </c>
      <c r="K78" s="3">
        <v>26</v>
      </c>
      <c r="L78" s="3" t="s">
        <v>207</v>
      </c>
      <c r="M78" s="3" t="s">
        <v>206</v>
      </c>
      <c r="N78" s="3">
        <v>6831</v>
      </c>
      <c r="O78" s="3">
        <v>27</v>
      </c>
      <c r="P78" s="3" t="s">
        <v>203</v>
      </c>
      <c r="Q78" s="3" t="s">
        <v>202</v>
      </c>
      <c r="T78" s="133"/>
    </row>
    <row r="79" spans="1:20" ht="28.15" hidden="1" customHeight="1" x14ac:dyDescent="0.2">
      <c r="A79" s="149"/>
      <c r="B79" s="160">
        <v>1883</v>
      </c>
      <c r="C79" s="49">
        <v>24</v>
      </c>
      <c r="D79" s="3" t="s">
        <v>205</v>
      </c>
      <c r="E79" s="3" t="s">
        <v>204</v>
      </c>
      <c r="F79" s="49">
        <v>2080</v>
      </c>
      <c r="G79" s="49">
        <v>25</v>
      </c>
      <c r="H79" s="3" t="s">
        <v>201</v>
      </c>
      <c r="I79" s="158" t="s">
        <v>200</v>
      </c>
      <c r="J79" s="157">
        <v>6831</v>
      </c>
      <c r="K79" s="3">
        <v>27</v>
      </c>
      <c r="L79" s="3" t="s">
        <v>203</v>
      </c>
      <c r="M79" s="3" t="s">
        <v>202</v>
      </c>
      <c r="N79" s="3">
        <v>7267</v>
      </c>
      <c r="O79" s="3">
        <v>28</v>
      </c>
      <c r="P79" s="3" t="s">
        <v>199</v>
      </c>
      <c r="Q79" s="3" t="s">
        <v>198</v>
      </c>
      <c r="T79" s="133"/>
    </row>
    <row r="80" spans="1:20" ht="28.15" hidden="1" customHeight="1" x14ac:dyDescent="0.2">
      <c r="A80" s="149"/>
      <c r="B80" s="160">
        <v>2080</v>
      </c>
      <c r="C80" s="49">
        <v>25</v>
      </c>
      <c r="D80" s="3" t="s">
        <v>201</v>
      </c>
      <c r="E80" s="3" t="s">
        <v>200</v>
      </c>
      <c r="F80" s="49">
        <v>2251</v>
      </c>
      <c r="G80" s="49">
        <v>26</v>
      </c>
      <c r="H80" s="3" t="s">
        <v>197</v>
      </c>
      <c r="I80" s="158" t="s">
        <v>196</v>
      </c>
      <c r="J80" s="157">
        <v>7267</v>
      </c>
      <c r="K80" s="3">
        <v>28</v>
      </c>
      <c r="L80" s="3" t="s">
        <v>199</v>
      </c>
      <c r="M80" s="3" t="s">
        <v>198</v>
      </c>
      <c r="N80" s="3">
        <v>7721</v>
      </c>
      <c r="O80" s="3">
        <v>30</v>
      </c>
      <c r="P80" s="3" t="s">
        <v>195</v>
      </c>
      <c r="Q80" s="3" t="s">
        <v>194</v>
      </c>
      <c r="T80" s="133"/>
    </row>
    <row r="81" spans="1:20" ht="28.15" hidden="1" customHeight="1" x14ac:dyDescent="0.2">
      <c r="A81" s="149"/>
      <c r="B81" s="160">
        <v>2251</v>
      </c>
      <c r="C81" s="49">
        <v>26</v>
      </c>
      <c r="D81" s="3" t="s">
        <v>197</v>
      </c>
      <c r="E81" s="3" t="s">
        <v>196</v>
      </c>
      <c r="F81" s="49">
        <v>2319</v>
      </c>
      <c r="G81" s="49">
        <v>27</v>
      </c>
      <c r="H81" s="3" t="s">
        <v>193</v>
      </c>
      <c r="I81" s="158" t="s">
        <v>192</v>
      </c>
      <c r="J81" s="157">
        <v>7721</v>
      </c>
      <c r="K81" s="3">
        <v>30</v>
      </c>
      <c r="L81" s="3" t="s">
        <v>195</v>
      </c>
      <c r="M81" s="3" t="s">
        <v>194</v>
      </c>
      <c r="N81" s="3">
        <v>8176</v>
      </c>
      <c r="O81" s="3">
        <v>31</v>
      </c>
      <c r="P81" s="3" t="s">
        <v>191</v>
      </c>
      <c r="Q81" s="3" t="s">
        <v>190</v>
      </c>
      <c r="T81" s="133"/>
    </row>
    <row r="82" spans="1:20" ht="28.15" hidden="1" customHeight="1" x14ac:dyDescent="0.2">
      <c r="A82" s="149"/>
      <c r="B82" s="160">
        <v>2319</v>
      </c>
      <c r="C82" s="49">
        <v>27</v>
      </c>
      <c r="D82" s="3" t="s">
        <v>193</v>
      </c>
      <c r="E82" s="3" t="s">
        <v>192</v>
      </c>
      <c r="F82" s="49">
        <v>2448</v>
      </c>
      <c r="G82" s="49">
        <v>28</v>
      </c>
      <c r="H82" s="3" t="s">
        <v>189</v>
      </c>
      <c r="I82" s="158" t="s">
        <v>188</v>
      </c>
      <c r="J82" s="157">
        <v>8176</v>
      </c>
      <c r="K82" s="3">
        <v>31</v>
      </c>
      <c r="L82" s="3" t="s">
        <v>191</v>
      </c>
      <c r="M82" s="3" t="s">
        <v>190</v>
      </c>
      <c r="N82" s="3">
        <v>8630</v>
      </c>
      <c r="O82" s="3">
        <v>33</v>
      </c>
      <c r="P82" s="3" t="s">
        <v>187</v>
      </c>
      <c r="Q82" s="3" t="s">
        <v>186</v>
      </c>
      <c r="T82" s="133"/>
    </row>
    <row r="83" spans="1:20" ht="28.15" hidden="1" customHeight="1" thickBot="1" x14ac:dyDescent="0.25">
      <c r="A83" s="149"/>
      <c r="B83" s="159">
        <v>2448</v>
      </c>
      <c r="C83" s="68">
        <v>28</v>
      </c>
      <c r="D83" s="155" t="s">
        <v>189</v>
      </c>
      <c r="E83" s="155" t="s">
        <v>188</v>
      </c>
      <c r="F83" s="49">
        <v>2448</v>
      </c>
      <c r="G83" s="49">
        <v>28</v>
      </c>
      <c r="H83" s="3" t="s">
        <v>189</v>
      </c>
      <c r="I83" s="158" t="s">
        <v>188</v>
      </c>
      <c r="J83" s="157">
        <v>8630</v>
      </c>
      <c r="K83" s="3">
        <v>33</v>
      </c>
      <c r="L83" s="3" t="s">
        <v>187</v>
      </c>
      <c r="M83" s="3" t="s">
        <v>186</v>
      </c>
      <c r="N83" s="3">
        <v>9084</v>
      </c>
      <c r="O83" s="3">
        <v>34</v>
      </c>
      <c r="P83" s="3" t="s">
        <v>185</v>
      </c>
      <c r="Q83" s="3" t="s">
        <v>184</v>
      </c>
      <c r="T83" s="133"/>
    </row>
    <row r="84" spans="1:20" ht="28.15" hidden="1" customHeight="1" x14ac:dyDescent="0.2">
      <c r="A84" s="149"/>
      <c r="J84" s="157">
        <v>9084</v>
      </c>
      <c r="K84" s="3">
        <v>34</v>
      </c>
      <c r="L84" s="3" t="s">
        <v>185</v>
      </c>
      <c r="M84" s="3" t="s">
        <v>184</v>
      </c>
      <c r="N84" s="3">
        <v>9538</v>
      </c>
      <c r="O84" s="3">
        <v>36</v>
      </c>
      <c r="P84" s="3" t="s">
        <v>183</v>
      </c>
      <c r="Q84" s="3" t="s">
        <v>182</v>
      </c>
      <c r="T84" s="133"/>
    </row>
    <row r="85" spans="1:20" ht="28.15" hidden="1" customHeight="1" x14ac:dyDescent="0.2">
      <c r="A85" s="149"/>
      <c r="J85" s="157">
        <v>9538</v>
      </c>
      <c r="K85" s="3">
        <v>36</v>
      </c>
      <c r="L85" s="3" t="s">
        <v>183</v>
      </c>
      <c r="M85" s="3" t="s">
        <v>182</v>
      </c>
      <c r="N85" s="3">
        <v>9990</v>
      </c>
      <c r="O85" s="3">
        <v>38</v>
      </c>
      <c r="P85" s="3" t="s">
        <v>181</v>
      </c>
      <c r="Q85" s="3" t="s">
        <v>180</v>
      </c>
      <c r="T85" s="133"/>
    </row>
    <row r="86" spans="1:20" ht="28.15" hidden="1" customHeight="1" x14ac:dyDescent="0.2">
      <c r="A86" s="149"/>
      <c r="J86" s="157">
        <v>9990</v>
      </c>
      <c r="K86" s="3">
        <v>38</v>
      </c>
      <c r="L86" s="3" t="s">
        <v>181</v>
      </c>
      <c r="M86" s="3" t="s">
        <v>180</v>
      </c>
      <c r="N86" s="3">
        <v>10445</v>
      </c>
      <c r="O86" s="3">
        <v>40</v>
      </c>
      <c r="P86" s="3" t="s">
        <v>179</v>
      </c>
      <c r="Q86" s="3" t="s">
        <v>178</v>
      </c>
      <c r="T86" s="133"/>
    </row>
    <row r="87" spans="1:20" ht="28.15" hidden="1" customHeight="1" x14ac:dyDescent="0.2">
      <c r="A87" s="149"/>
      <c r="J87" s="157">
        <v>10445</v>
      </c>
      <c r="K87" s="3">
        <v>40</v>
      </c>
      <c r="L87" s="3" t="s">
        <v>179</v>
      </c>
      <c r="M87" s="3" t="s">
        <v>178</v>
      </c>
      <c r="N87" s="3">
        <v>10900</v>
      </c>
      <c r="O87" s="3">
        <v>42</v>
      </c>
      <c r="P87" s="3" t="s">
        <v>177</v>
      </c>
      <c r="Q87" s="3" t="s">
        <v>176</v>
      </c>
      <c r="T87" s="133"/>
    </row>
    <row r="88" spans="1:20" ht="28.15" hidden="1" customHeight="1" thickBot="1" x14ac:dyDescent="0.25">
      <c r="A88" s="149"/>
      <c r="J88" s="157">
        <v>10900</v>
      </c>
      <c r="K88" s="3">
        <v>42</v>
      </c>
      <c r="L88" s="3" t="s">
        <v>177</v>
      </c>
      <c r="M88" s="3" t="s">
        <v>176</v>
      </c>
      <c r="N88" s="3">
        <v>11355</v>
      </c>
      <c r="O88" s="3">
        <v>44</v>
      </c>
      <c r="P88" s="155" t="s">
        <v>175</v>
      </c>
      <c r="Q88" s="155" t="s">
        <v>174</v>
      </c>
      <c r="T88" s="133"/>
    </row>
    <row r="89" spans="1:20" ht="28.15" hidden="1" customHeight="1" thickBot="1" x14ac:dyDescent="0.25">
      <c r="A89" s="149"/>
      <c r="J89" s="156">
        <v>11355</v>
      </c>
      <c r="K89" s="155">
        <v>44</v>
      </c>
      <c r="L89" s="155" t="s">
        <v>175</v>
      </c>
      <c r="M89" s="155" t="s">
        <v>174</v>
      </c>
      <c r="N89" s="3">
        <v>11355</v>
      </c>
      <c r="O89" s="3">
        <v>44</v>
      </c>
      <c r="P89" s="155" t="s">
        <v>175</v>
      </c>
      <c r="Q89" s="155" t="s">
        <v>174</v>
      </c>
      <c r="T89" s="133"/>
    </row>
    <row r="90" spans="1:20" ht="28.15" hidden="1" customHeight="1" thickBot="1" x14ac:dyDescent="0.25">
      <c r="A90" s="149"/>
      <c r="B90" s="32"/>
      <c r="D90" s="19"/>
      <c r="E90" s="19"/>
      <c r="F90" s="154"/>
      <c r="G90" s="25"/>
      <c r="H90" s="19"/>
      <c r="T90" s="133"/>
    </row>
    <row r="91" spans="1:20" ht="28.15" hidden="1" customHeight="1" x14ac:dyDescent="0.2">
      <c r="A91" s="149"/>
      <c r="B91" s="32"/>
      <c r="C91" s="998"/>
      <c r="D91" s="999"/>
      <c r="E91" s="999"/>
      <c r="F91" s="1011"/>
      <c r="G91" s="25"/>
      <c r="H91" s="998"/>
      <c r="I91" s="999"/>
      <c r="J91" s="999"/>
      <c r="K91" s="1011"/>
      <c r="T91" s="133"/>
    </row>
    <row r="92" spans="1:20" ht="13.5" hidden="1" thickTop="1" x14ac:dyDescent="0.2">
      <c r="A92" s="149"/>
      <c r="B92" s="24"/>
      <c r="C92" s="151"/>
      <c r="D92" s="150"/>
      <c r="E92" s="1006"/>
      <c r="F92" s="1007"/>
      <c r="H92" s="151"/>
      <c r="I92" s="150"/>
      <c r="J92" s="1006"/>
      <c r="K92" s="1007"/>
      <c r="T92" s="133"/>
    </row>
    <row r="93" spans="1:20" ht="13.5" hidden="1" thickTop="1" x14ac:dyDescent="0.2">
      <c r="A93" s="149"/>
      <c r="B93" s="24"/>
      <c r="C93" s="148"/>
      <c r="D93" s="78"/>
      <c r="E93" s="114"/>
      <c r="F93" s="147"/>
      <c r="H93" s="148"/>
      <c r="I93" s="78"/>
      <c r="J93" s="114"/>
      <c r="K93" s="147"/>
      <c r="T93" s="133"/>
    </row>
    <row r="94" spans="1:20" ht="13.5" hidden="1" thickTop="1" x14ac:dyDescent="0.2">
      <c r="A94" s="134"/>
      <c r="B94" s="32"/>
      <c r="C94" s="146"/>
      <c r="D94" s="145"/>
      <c r="E94" s="144"/>
      <c r="F94" s="143"/>
      <c r="G94" s="136"/>
      <c r="H94" s="146"/>
      <c r="I94" s="145"/>
      <c r="J94" s="144"/>
      <c r="K94" s="143"/>
      <c r="T94" s="133"/>
    </row>
    <row r="95" spans="1:20" ht="14.25" hidden="1" thickTop="1" thickBot="1" x14ac:dyDescent="0.25">
      <c r="A95" s="134"/>
      <c r="B95" s="32"/>
      <c r="C95" s="142"/>
      <c r="D95" s="140"/>
      <c r="E95" s="139"/>
      <c r="F95" s="138"/>
      <c r="G95" s="136"/>
      <c r="H95" s="141"/>
      <c r="I95" s="140"/>
      <c r="J95" s="139"/>
      <c r="K95" s="138"/>
      <c r="T95" s="133"/>
    </row>
    <row r="96" spans="1:20" ht="13.5" hidden="1" thickTop="1" x14ac:dyDescent="0.2">
      <c r="A96" s="134"/>
      <c r="B96" s="25"/>
      <c r="C96" s="135"/>
      <c r="D96" s="135"/>
      <c r="E96" s="135"/>
      <c r="F96" s="137"/>
      <c r="G96" s="136"/>
      <c r="H96" s="135"/>
      <c r="T96" s="133"/>
    </row>
    <row r="97" spans="1:20" ht="13.5" hidden="1" thickTop="1" x14ac:dyDescent="0.2">
      <c r="A97" s="134"/>
      <c r="B97" s="132"/>
      <c r="C97" s="132"/>
      <c r="F97" s="132"/>
      <c r="G97" s="132"/>
      <c r="H97" s="132"/>
      <c r="T97" s="133"/>
    </row>
    <row r="98" spans="1:20" ht="13.5" thickTop="1" x14ac:dyDescent="0.2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T98" s="133"/>
    </row>
    <row r="99" spans="1:20" x14ac:dyDescent="0.2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T99" s="133"/>
    </row>
    <row r="100" spans="1:20" x14ac:dyDescent="0.2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T100" s="133"/>
    </row>
    <row r="101" spans="1:20" ht="13.5" thickBot="1" x14ac:dyDescent="0.25">
      <c r="F101" s="132"/>
      <c r="G101" s="132"/>
      <c r="H101" s="132"/>
      <c r="I101" s="132"/>
      <c r="J101" s="132"/>
      <c r="P101" s="131"/>
      <c r="Q101" s="131"/>
      <c r="R101" s="131"/>
      <c r="S101" s="131"/>
      <c r="T101" s="130"/>
    </row>
    <row r="103" spans="1:20" x14ac:dyDescent="0.2">
      <c r="B103" s="129"/>
      <c r="J103" s="128"/>
    </row>
    <row r="105" spans="1:20" x14ac:dyDescent="0.2">
      <c r="B105" s="129"/>
    </row>
    <row r="106" spans="1:20" x14ac:dyDescent="0.2">
      <c r="M106" s="128"/>
    </row>
    <row r="108" spans="1:20" x14ac:dyDescent="0.2">
      <c r="B108" s="128"/>
    </row>
    <row r="112" spans="1:20" x14ac:dyDescent="0.2">
      <c r="B112" s="128"/>
    </row>
    <row r="114" spans="2:2" x14ac:dyDescent="0.2">
      <c r="B114" s="128"/>
    </row>
  </sheetData>
  <sheetProtection sheet="1" objects="1" scenarios="1"/>
  <mergeCells count="28">
    <mergeCell ref="B43:E43"/>
    <mergeCell ref="F43:I43"/>
    <mergeCell ref="J43:M43"/>
    <mergeCell ref="N43:Q43"/>
    <mergeCell ref="E92:F92"/>
    <mergeCell ref="J92:K92"/>
    <mergeCell ref="D44:E44"/>
    <mergeCell ref="H44:I44"/>
    <mergeCell ref="L44:M44"/>
    <mergeCell ref="P44:Q44"/>
    <mergeCell ref="C91:F91"/>
    <mergeCell ref="H91:K91"/>
    <mergeCell ref="B28:C28"/>
    <mergeCell ref="D28:G28"/>
    <mergeCell ref="H28:K28"/>
    <mergeCell ref="L28:N28"/>
    <mergeCell ref="B42:I42"/>
    <mergeCell ref="J42:Q42"/>
    <mergeCell ref="Q12:T12"/>
    <mergeCell ref="V12:Y12"/>
    <mergeCell ref="S13:T13"/>
    <mergeCell ref="X13:Y13"/>
    <mergeCell ref="B15:C15"/>
    <mergeCell ref="A2:N2"/>
    <mergeCell ref="H11:I11"/>
    <mergeCell ref="J11:K11"/>
    <mergeCell ref="L11:M11"/>
    <mergeCell ref="A1:N1"/>
  </mergeCells>
  <dataValidations count="1">
    <dataValidation type="list" allowBlank="1" showInputMessage="1" showErrorMessage="1" sqref="D13" xr:uid="{52F21A7D-9ED4-4234-ACC4-AEDDD23924CB}">
      <formula1>$B$19:$B$25</formula1>
    </dataValidation>
  </dataValidations>
  <pageMargins left="0.19685039370078741" right="0" top="0.59055118110236227" bottom="0.39370078740157483" header="0.51181102362204722" footer="0.51181102362204722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122"/>
  <sheetViews>
    <sheetView showGridLines="0" zoomScaleNormal="100" workbookViewId="0">
      <selection activeCell="V14" sqref="V14"/>
    </sheetView>
  </sheetViews>
  <sheetFormatPr defaultColWidth="11.42578125" defaultRowHeight="12.75" x14ac:dyDescent="0.2"/>
  <cols>
    <col min="1" max="1" width="8.28515625" customWidth="1"/>
    <col min="2" max="2" width="11.7109375" customWidth="1"/>
    <col min="3" max="3" width="9.7109375" customWidth="1"/>
    <col min="4" max="4" width="8.28515625" customWidth="1"/>
    <col min="5" max="5" width="10.42578125" customWidth="1"/>
    <col min="6" max="8" width="9.7109375" customWidth="1"/>
    <col min="9" max="9" width="8.140625" customWidth="1"/>
    <col min="10" max="10" width="8.7109375" customWidth="1"/>
    <col min="11" max="11" width="8.42578125" customWidth="1"/>
    <col min="12" max="12" width="9.7109375" customWidth="1"/>
    <col min="13" max="13" width="6.5703125" customWidth="1"/>
    <col min="14" max="14" width="4.7109375" hidden="1" customWidth="1"/>
    <col min="15" max="15" width="9.7109375" customWidth="1"/>
    <col min="16" max="17" width="8.7109375" customWidth="1"/>
    <col min="18" max="18" width="9.7109375" customWidth="1"/>
    <col min="19" max="19" width="8.7109375" customWidth="1"/>
    <col min="20" max="20" width="8.7109375" style="103" customWidth="1"/>
    <col min="21" max="21" width="8.7109375" customWidth="1"/>
    <col min="22" max="28" width="11.42578125" customWidth="1"/>
    <col min="29" max="29" width="12.85546875" bestFit="1" customWidth="1"/>
  </cols>
  <sheetData>
    <row r="1" spans="1:34" ht="21" thickTop="1" x14ac:dyDescent="0.3">
      <c r="A1" s="252"/>
      <c r="B1" s="881" t="s">
        <v>860</v>
      </c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92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</row>
    <row r="2" spans="1:34" ht="20.25" customHeight="1" thickBot="1" x14ac:dyDescent="0.35">
      <c r="A2" s="889" t="s">
        <v>859</v>
      </c>
      <c r="B2" s="890"/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890"/>
      <c r="Q2" s="890"/>
      <c r="R2" s="891"/>
      <c r="S2" s="128"/>
    </row>
    <row r="3" spans="1:34" ht="14.25" hidden="1" thickTop="1" thickBot="1" x14ac:dyDescent="0.25">
      <c r="A3" s="24"/>
      <c r="D3" s="19"/>
      <c r="E3" s="19"/>
      <c r="F3" s="19"/>
      <c r="G3" s="19"/>
      <c r="H3" s="19"/>
      <c r="I3" s="234"/>
      <c r="J3" s="25"/>
      <c r="K3" s="216"/>
      <c r="L3" s="349"/>
      <c r="R3" s="23"/>
    </row>
    <row r="4" spans="1:34" ht="14.25" thickTop="1" thickBot="1" x14ac:dyDescent="0.25">
      <c r="A4" s="24"/>
      <c r="B4" s="234"/>
      <c r="D4" s="19" t="s">
        <v>25</v>
      </c>
      <c r="E4" s="19"/>
      <c r="F4" s="350" t="s">
        <v>533</v>
      </c>
      <c r="G4" s="351"/>
      <c r="H4" s="352"/>
      <c r="I4" s="353" t="s">
        <v>388</v>
      </c>
      <c r="J4" s="354" t="s">
        <v>380</v>
      </c>
      <c r="K4" s="352" t="s">
        <v>532</v>
      </c>
      <c r="L4" s="352" t="s">
        <v>336</v>
      </c>
      <c r="M4" s="355" t="s">
        <v>388</v>
      </c>
      <c r="N4" s="356"/>
      <c r="O4" s="352" t="s">
        <v>532</v>
      </c>
      <c r="P4" s="352" t="s">
        <v>518</v>
      </c>
      <c r="Q4" s="355" t="s">
        <v>388</v>
      </c>
      <c r="R4" s="357" t="s">
        <v>519</v>
      </c>
    </row>
    <row r="5" spans="1:34" ht="13.5" thickBot="1" x14ac:dyDescent="0.25">
      <c r="A5" s="32"/>
      <c r="B5" s="25" t="s">
        <v>117</v>
      </c>
      <c r="C5" s="358"/>
      <c r="D5" s="442">
        <v>5000</v>
      </c>
      <c r="E5" s="25" t="s">
        <v>421</v>
      </c>
      <c r="F5" s="359" t="s">
        <v>694</v>
      </c>
      <c r="G5" s="360"/>
      <c r="H5" s="361"/>
      <c r="I5" s="362" t="s">
        <v>422</v>
      </c>
      <c r="J5" s="363" t="s">
        <v>370</v>
      </c>
      <c r="K5" s="364" t="s">
        <v>534</v>
      </c>
      <c r="L5" s="364"/>
      <c r="M5" s="365"/>
      <c r="N5" s="366"/>
      <c r="O5" s="364" t="s">
        <v>535</v>
      </c>
      <c r="P5" s="364"/>
      <c r="Q5" s="365"/>
      <c r="R5" s="367"/>
      <c r="S5" s="25"/>
      <c r="T5" s="368"/>
    </row>
    <row r="6" spans="1:34" x14ac:dyDescent="0.2">
      <c r="A6" s="127"/>
      <c r="B6" s="19"/>
      <c r="C6" s="135"/>
      <c r="D6" s="135"/>
      <c r="E6" s="369"/>
      <c r="F6" s="370" t="s">
        <v>520</v>
      </c>
      <c r="G6" s="371"/>
      <c r="H6" s="372"/>
      <c r="I6" s="575">
        <f>((VLOOKUP(($D$14),$A$30:$Q$46,9)))</f>
        <v>675</v>
      </c>
      <c r="J6" s="576">
        <f>((VLOOKUP(($D$14),$A$30:$Q$46,10)))</f>
        <v>49</v>
      </c>
      <c r="K6" s="577">
        <f>((VLOOKUP(($D$14),$A$30:$Q$46,11)))</f>
        <v>13</v>
      </c>
      <c r="L6" s="577" t="str">
        <f>((VLOOKUP(($D$14),$A$30:$Q$46,12)))</f>
        <v>52-66407H</v>
      </c>
      <c r="M6" s="578">
        <f>((VLOOKUP(($D$14),$A$30:$Q$46,13)))</f>
        <v>45</v>
      </c>
      <c r="N6" s="576"/>
      <c r="O6" s="577">
        <f>((VLOOKUP(($D$14),$A$30:$Q$46,14)))</f>
        <v>2</v>
      </c>
      <c r="P6" s="577" t="str">
        <f>((VLOOKUP(($D$14),$A$30:$Q$46,16)))</f>
        <v>52-66407H</v>
      </c>
      <c r="Q6" s="578">
        <f>((VLOOKUP(($D$14),$A$30:$Q$46,17)))</f>
        <v>45</v>
      </c>
      <c r="R6" s="579">
        <f>((VLOOKUP(($D$14),$A$30:$R$46,18)))</f>
        <v>-0.86499999999999999</v>
      </c>
    </row>
    <row r="7" spans="1:34" x14ac:dyDescent="0.2">
      <c r="A7" s="127"/>
      <c r="B7" s="234" t="s">
        <v>528</v>
      </c>
      <c r="C7" s="135"/>
      <c r="D7" s="135"/>
      <c r="E7" s="369"/>
      <c r="F7" s="373"/>
      <c r="G7" s="374"/>
      <c r="H7" s="374"/>
      <c r="I7" s="374"/>
      <c r="J7" s="373"/>
      <c r="K7" s="374"/>
      <c r="L7" s="374"/>
      <c r="M7" s="375"/>
      <c r="N7" s="373"/>
      <c r="O7" s="374"/>
      <c r="P7" s="374"/>
      <c r="Q7" s="375"/>
      <c r="R7" s="375"/>
    </row>
    <row r="8" spans="1:34" ht="13.5" thickBot="1" x14ac:dyDescent="0.25">
      <c r="A8" s="127"/>
      <c r="B8" s="234" t="s">
        <v>423</v>
      </c>
      <c r="C8" s="19"/>
      <c r="D8" s="19"/>
      <c r="E8" s="369"/>
      <c r="F8" s="376" t="s">
        <v>521</v>
      </c>
      <c r="G8" s="377"/>
      <c r="H8" s="378"/>
      <c r="I8" s="580">
        <f>((VLOOKUP(($D$14),$A$30:$Q$46,4)))</f>
        <v>675</v>
      </c>
      <c r="J8" s="581">
        <f>((VLOOKUP(($D$14),$A$30:$Q$46,5)))</f>
        <v>49</v>
      </c>
      <c r="K8" s="582">
        <f>IF($M$8=0,0,I8/M8)</f>
        <v>15</v>
      </c>
      <c r="L8" s="583" t="str">
        <f>((VLOOKUP(($D$14),$A$30:$Q$46,6)))</f>
        <v>52-66407H</v>
      </c>
      <c r="M8" s="584">
        <f>((VLOOKUP(($D$14),$A$30:$Q$46,7)))</f>
        <v>45</v>
      </c>
      <c r="N8" s="1012"/>
      <c r="O8" s="1013"/>
      <c r="P8" s="1013"/>
      <c r="Q8" s="1014"/>
      <c r="R8" s="585">
        <f>((VLOOKUP(($D$14),$A$30:$Q$46,8)))</f>
        <v>-0.86499999999999999</v>
      </c>
    </row>
    <row r="9" spans="1:34" ht="13.5" thickTop="1" x14ac:dyDescent="0.2">
      <c r="A9" s="127"/>
      <c r="B9" s="369" t="s">
        <v>529</v>
      </c>
      <c r="C9" s="19"/>
      <c r="D9" s="369"/>
      <c r="E9" s="369"/>
      <c r="F9" s="25"/>
      <c r="G9" s="135"/>
      <c r="I9" s="19"/>
      <c r="P9" s="25"/>
      <c r="R9" s="23"/>
    </row>
    <row r="10" spans="1:34" hidden="1" x14ac:dyDescent="0.2">
      <c r="A10" s="127"/>
      <c r="B10" s="234"/>
      <c r="C10" s="19"/>
      <c r="D10" s="369"/>
      <c r="E10" s="369"/>
      <c r="F10" s="25"/>
      <c r="G10" s="369"/>
      <c r="I10" s="369"/>
      <c r="K10" s="170"/>
      <c r="L10" s="170"/>
      <c r="N10" s="25"/>
      <c r="O10" s="368"/>
      <c r="R10" s="23"/>
      <c r="X10" s="128"/>
    </row>
    <row r="11" spans="1:34" x14ac:dyDescent="0.2">
      <c r="A11" s="127"/>
      <c r="B11" s="369"/>
      <c r="C11" s="19"/>
      <c r="D11" s="369"/>
      <c r="E11" s="369"/>
      <c r="F11" s="25"/>
      <c r="G11" s="135"/>
      <c r="I11" s="369"/>
      <c r="N11" s="25"/>
      <c r="O11" s="368"/>
      <c r="R11" s="23"/>
      <c r="X11" s="128"/>
    </row>
    <row r="12" spans="1:34" x14ac:dyDescent="0.2">
      <c r="A12" s="127"/>
      <c r="B12" s="234"/>
      <c r="C12" s="19"/>
      <c r="D12" s="369"/>
      <c r="E12" s="369"/>
      <c r="F12" s="25"/>
      <c r="G12" s="135"/>
      <c r="I12" s="369"/>
      <c r="N12" s="25"/>
      <c r="O12" s="368"/>
      <c r="R12" s="23"/>
      <c r="X12" s="128"/>
    </row>
    <row r="13" spans="1:34" ht="13.5" thickBot="1" x14ac:dyDescent="0.25">
      <c r="A13" s="127"/>
      <c r="B13" s="369" t="s">
        <v>530</v>
      </c>
      <c r="C13" s="135"/>
      <c r="D13" s="135"/>
      <c r="E13" s="369"/>
      <c r="F13" s="25"/>
      <c r="G13" s="135"/>
      <c r="I13" s="369"/>
      <c r="N13" s="25"/>
      <c r="O13" s="368"/>
      <c r="R13" s="23"/>
      <c r="X13" s="128"/>
    </row>
    <row r="14" spans="1:34" ht="13.5" thickBot="1" x14ac:dyDescent="0.25">
      <c r="A14" s="127"/>
      <c r="B14" s="19" t="s">
        <v>524</v>
      </c>
      <c r="C14" s="19"/>
      <c r="D14" s="441">
        <v>300</v>
      </c>
      <c r="E14" s="369"/>
      <c r="F14" s="25"/>
      <c r="G14" s="135"/>
      <c r="I14" s="369"/>
      <c r="N14" s="25"/>
      <c r="O14" s="368"/>
      <c r="R14" s="23"/>
      <c r="X14" s="128"/>
    </row>
    <row r="15" spans="1:34" ht="13.5" thickBot="1" x14ac:dyDescent="0.25">
      <c r="A15" s="127"/>
      <c r="B15" s="234"/>
      <c r="C15" s="19"/>
      <c r="D15" s="369"/>
      <c r="E15" s="369"/>
      <c r="F15" s="25"/>
      <c r="G15" s="135"/>
      <c r="I15" s="369"/>
      <c r="N15" s="25"/>
      <c r="O15" s="368"/>
      <c r="R15" s="23"/>
      <c r="X15" s="128"/>
    </row>
    <row r="16" spans="1:34" ht="14.25" thickTop="1" thickBot="1" x14ac:dyDescent="0.25">
      <c r="A16" s="127"/>
      <c r="B16" s="234" t="s">
        <v>531</v>
      </c>
      <c r="C16" s="19"/>
      <c r="D16" s="587" t="str">
        <f>VLOOKUP($D$14,$K$66:$L$82,2)</f>
        <v xml:space="preserve">       49-9143-01</v>
      </c>
      <c r="E16" s="586"/>
      <c r="F16" s="25"/>
      <c r="G16" s="135"/>
      <c r="I16" s="369"/>
      <c r="N16" s="25"/>
      <c r="O16" s="368"/>
      <c r="R16" s="23"/>
      <c r="X16" s="128"/>
    </row>
    <row r="17" spans="1:24" ht="13.5" thickTop="1" x14ac:dyDescent="0.2">
      <c r="A17" s="127"/>
      <c r="B17" s="369"/>
      <c r="C17" s="19"/>
      <c r="D17" s="369"/>
      <c r="E17" s="369"/>
      <c r="F17" s="25"/>
      <c r="G17" s="135"/>
      <c r="I17" s="369"/>
      <c r="N17" s="25"/>
      <c r="O17" s="368"/>
      <c r="R17" s="23"/>
      <c r="X17" s="128"/>
    </row>
    <row r="18" spans="1:24" x14ac:dyDescent="0.2">
      <c r="A18" s="127"/>
      <c r="B18" s="369"/>
      <c r="C18" s="19"/>
      <c r="D18" s="369"/>
      <c r="E18" s="369"/>
      <c r="F18" s="25"/>
      <c r="G18" s="135"/>
      <c r="I18" s="369"/>
      <c r="N18" s="25"/>
      <c r="O18" s="368"/>
      <c r="R18" s="23"/>
      <c r="X18" s="128"/>
    </row>
    <row r="19" spans="1:24" x14ac:dyDescent="0.2">
      <c r="A19" s="127"/>
      <c r="B19" s="369"/>
      <c r="C19" s="19"/>
      <c r="D19" s="369"/>
      <c r="E19" s="369"/>
      <c r="F19" s="25"/>
      <c r="G19" s="135"/>
      <c r="I19" s="369"/>
      <c r="N19" s="25"/>
      <c r="O19" s="368"/>
      <c r="R19" s="23"/>
      <c r="X19" s="128"/>
    </row>
    <row r="20" spans="1:24" x14ac:dyDescent="0.2">
      <c r="A20" s="127"/>
      <c r="B20" s="234"/>
      <c r="C20" s="234"/>
      <c r="D20" s="234"/>
      <c r="E20" s="234"/>
      <c r="F20" s="234"/>
      <c r="G20" s="135"/>
      <c r="I20" s="369"/>
      <c r="N20" s="25"/>
      <c r="O20" s="368"/>
      <c r="R20" s="23"/>
      <c r="X20" s="128"/>
    </row>
    <row r="21" spans="1:24" x14ac:dyDescent="0.2">
      <c r="A21" s="127"/>
      <c r="B21" s="234"/>
      <c r="C21" s="234"/>
      <c r="D21" s="234"/>
      <c r="E21" s="234"/>
      <c r="F21" s="234"/>
      <c r="G21" s="135"/>
      <c r="I21" s="369"/>
      <c r="N21" s="25"/>
      <c r="O21" s="368"/>
      <c r="R21" s="23"/>
      <c r="X21" s="128"/>
    </row>
    <row r="22" spans="1:24" x14ac:dyDescent="0.2">
      <c r="A22" s="127"/>
      <c r="B22" s="234"/>
      <c r="C22" s="234"/>
      <c r="D22" s="234"/>
      <c r="E22" s="234"/>
      <c r="F22" s="234"/>
      <c r="G22" s="135"/>
      <c r="I22" s="369"/>
      <c r="N22" s="25"/>
      <c r="O22" s="368"/>
      <c r="R22" s="23"/>
      <c r="X22" s="128"/>
    </row>
    <row r="23" spans="1:24" x14ac:dyDescent="0.2">
      <c r="A23" s="127"/>
      <c r="B23" s="234"/>
      <c r="C23" s="234"/>
      <c r="D23" s="234"/>
      <c r="E23" s="234"/>
      <c r="F23" s="234"/>
      <c r="G23" s="135"/>
      <c r="I23" s="369"/>
      <c r="N23" s="25"/>
      <c r="O23" s="368"/>
      <c r="R23" s="23"/>
      <c r="X23" s="128"/>
    </row>
    <row r="24" spans="1:24" x14ac:dyDescent="0.2">
      <c r="A24" s="127"/>
      <c r="B24" s="19"/>
      <c r="C24" s="19"/>
      <c r="D24" s="369"/>
      <c r="E24" s="369"/>
      <c r="F24" s="25"/>
      <c r="G24" s="135"/>
      <c r="I24" s="369"/>
      <c r="R24" s="23"/>
      <c r="X24" s="129"/>
    </row>
    <row r="25" spans="1:24" hidden="1" x14ac:dyDescent="0.2">
      <c r="A25" s="32"/>
      <c r="B25" s="25"/>
      <c r="C25" s="170"/>
      <c r="D25" s="379" t="s">
        <v>424</v>
      </c>
      <c r="E25" s="379"/>
      <c r="F25" s="379"/>
      <c r="G25" s="379"/>
      <c r="H25" s="379"/>
      <c r="I25" s="379" t="s">
        <v>425</v>
      </c>
      <c r="J25" s="379"/>
      <c r="K25" s="379"/>
      <c r="L25" s="379"/>
      <c r="M25" s="379"/>
      <c r="N25" s="379"/>
      <c r="O25" s="380"/>
      <c r="P25" s="380"/>
      <c r="Q25" s="380"/>
      <c r="R25" s="381"/>
      <c r="S25" s="25"/>
      <c r="X25" s="4"/>
    </row>
    <row r="26" spans="1:24" hidden="1" x14ac:dyDescent="0.2">
      <c r="A26" s="127" t="s">
        <v>382</v>
      </c>
      <c r="B26" s="19" t="s">
        <v>426</v>
      </c>
      <c r="C26" s="19" t="s">
        <v>427</v>
      </c>
      <c r="D26" s="379" t="s">
        <v>428</v>
      </c>
      <c r="E26" s="379" t="s">
        <v>429</v>
      </c>
      <c r="F26" s="382" t="s">
        <v>379</v>
      </c>
      <c r="G26" s="382" t="s">
        <v>430</v>
      </c>
      <c r="H26" s="382" t="s">
        <v>431</v>
      </c>
      <c r="I26" s="379" t="s">
        <v>430</v>
      </c>
      <c r="J26" s="379" t="s">
        <v>380</v>
      </c>
      <c r="K26" s="382" t="s">
        <v>427</v>
      </c>
      <c r="L26" s="382" t="s">
        <v>379</v>
      </c>
      <c r="M26" s="382" t="s">
        <v>381</v>
      </c>
      <c r="N26" s="383" t="s">
        <v>432</v>
      </c>
      <c r="O26" s="382" t="s">
        <v>433</v>
      </c>
      <c r="P26" s="382" t="s">
        <v>379</v>
      </c>
      <c r="Q26" s="382" t="s">
        <v>381</v>
      </c>
      <c r="R26" s="384" t="s">
        <v>431</v>
      </c>
      <c r="X26" s="129"/>
    </row>
    <row r="27" spans="1:24" hidden="1" x14ac:dyDescent="0.2">
      <c r="A27" s="127" t="s">
        <v>42</v>
      </c>
      <c r="B27" s="19" t="s">
        <v>422</v>
      </c>
      <c r="C27" s="19" t="s">
        <v>434</v>
      </c>
      <c r="D27" s="379" t="s">
        <v>422</v>
      </c>
      <c r="E27" s="379" t="s">
        <v>370</v>
      </c>
      <c r="F27" s="382"/>
      <c r="G27" s="382" t="s">
        <v>422</v>
      </c>
      <c r="H27" s="382" t="s">
        <v>435</v>
      </c>
      <c r="I27" s="379" t="s">
        <v>422</v>
      </c>
      <c r="J27" s="379" t="s">
        <v>370</v>
      </c>
      <c r="K27" s="382" t="s">
        <v>434</v>
      </c>
      <c r="L27" s="382"/>
      <c r="M27" s="382" t="s">
        <v>377</v>
      </c>
      <c r="N27" s="383" t="s">
        <v>436</v>
      </c>
      <c r="O27" s="382" t="s">
        <v>428</v>
      </c>
      <c r="P27" s="382"/>
      <c r="Q27" s="382" t="s">
        <v>377</v>
      </c>
      <c r="R27" s="384" t="s">
        <v>435</v>
      </c>
      <c r="U27" s="385"/>
    </row>
    <row r="28" spans="1:24" hidden="1" x14ac:dyDescent="0.2">
      <c r="A28" s="127" t="s">
        <v>371</v>
      </c>
      <c r="B28" s="132"/>
      <c r="C28" s="19"/>
      <c r="D28" s="386" t="s">
        <v>437</v>
      </c>
      <c r="E28" s="379"/>
      <c r="F28" s="382" t="s">
        <v>415</v>
      </c>
      <c r="G28" s="382" t="s">
        <v>415</v>
      </c>
      <c r="H28" s="382"/>
      <c r="I28" s="386" t="s">
        <v>438</v>
      </c>
      <c r="J28" s="379"/>
      <c r="K28" s="382"/>
      <c r="L28" s="382" t="s">
        <v>415</v>
      </c>
      <c r="M28" s="382" t="s">
        <v>439</v>
      </c>
      <c r="N28" s="383"/>
      <c r="O28" s="382" t="s">
        <v>422</v>
      </c>
      <c r="P28" s="382" t="s">
        <v>415</v>
      </c>
      <c r="Q28" s="382" t="s">
        <v>439</v>
      </c>
      <c r="R28" s="384"/>
      <c r="U28" s="385"/>
      <c r="X28" s="129"/>
    </row>
    <row r="29" spans="1:24" hidden="1" x14ac:dyDescent="0.2">
      <c r="A29" s="258"/>
      <c r="B29" s="132"/>
      <c r="C29" s="132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387"/>
      <c r="O29" s="19"/>
      <c r="Q29" s="19"/>
      <c r="R29" s="23"/>
      <c r="U29" s="385"/>
    </row>
    <row r="30" spans="1:24" hidden="1" x14ac:dyDescent="0.2">
      <c r="A30" s="388">
        <v>50</v>
      </c>
      <c r="B30" s="389" t="s">
        <v>679</v>
      </c>
      <c r="C30" s="390">
        <v>1</v>
      </c>
      <c r="D30" s="391">
        <f t="shared" ref="D30:D44" si="0">IF($D$5/$C30&lt;3.8,D29,VLOOKUP(($D$5/$C30),$D$55:$F$99,1)*$C30)</f>
        <v>45</v>
      </c>
      <c r="E30" s="392">
        <f t="shared" ref="E30:E44" si="1">IF($D$5/$C30&lt;3.8,E29,VLOOKUP(($D$5/$C30),$D$55:$F$99,2))</f>
        <v>49</v>
      </c>
      <c r="F30" s="393" t="str">
        <f t="shared" ref="F30:F44" si="2">IF($D$5/$C30&lt;3.8,F29,VLOOKUP(($D$5/$C30),$D$55:$F$99,3))</f>
        <v>52-66407H</v>
      </c>
      <c r="G30" s="394">
        <f t="shared" ref="G30:G44" si="3">IF($D$5/$C30&lt;3.8,G29,VLOOKUP(($D$5/$C30),$D$55:$F$99,1))</f>
        <v>45</v>
      </c>
      <c r="H30" s="395">
        <f t="shared" ref="H30:H44" si="4">D30/$D$5-1</f>
        <v>-0.99099999999999999</v>
      </c>
      <c r="I30" s="396">
        <f t="shared" ref="I30:I44" si="5">$K30*M30+$N30*Q30</f>
        <v>45</v>
      </c>
      <c r="J30" s="397">
        <f>VLOOKUP(($D$5/$C30),$D$55:$I$99,5)</f>
        <v>49</v>
      </c>
      <c r="K30" s="398">
        <f>C30</f>
        <v>1</v>
      </c>
      <c r="L30" s="398" t="str">
        <f>VLOOKUP(($D$5/$C30),$D$55:$I$99,6)</f>
        <v>52-66407H</v>
      </c>
      <c r="M30" s="399">
        <f>VLOOKUP(($D$5/$C30),$D$55:$I$99,4)</f>
        <v>45</v>
      </c>
      <c r="N30" s="383">
        <v>0</v>
      </c>
      <c r="O30" s="400">
        <f>($D$5-(K30*M30))</f>
        <v>4955</v>
      </c>
      <c r="P30" s="382">
        <v>0</v>
      </c>
      <c r="Q30" s="401">
        <v>0</v>
      </c>
      <c r="R30" s="402">
        <f t="shared" ref="R30:R44" si="6">I30/$D$5-1</f>
        <v>-0.99099999999999999</v>
      </c>
      <c r="T30" s="385"/>
      <c r="U30" s="385"/>
    </row>
    <row r="31" spans="1:24" hidden="1" x14ac:dyDescent="0.2">
      <c r="A31" s="127">
        <v>65</v>
      </c>
      <c r="B31" s="58" t="s">
        <v>679</v>
      </c>
      <c r="C31" s="19">
        <v>1</v>
      </c>
      <c r="D31" s="391">
        <f t="shared" si="0"/>
        <v>45</v>
      </c>
      <c r="E31" s="392">
        <f t="shared" si="1"/>
        <v>49</v>
      </c>
      <c r="F31" s="393" t="str">
        <f t="shared" si="2"/>
        <v>52-66407H</v>
      </c>
      <c r="G31" s="394">
        <f t="shared" si="3"/>
        <v>45</v>
      </c>
      <c r="H31" s="395">
        <f t="shared" si="4"/>
        <v>-0.99099999999999999</v>
      </c>
      <c r="I31" s="396">
        <f t="shared" si="5"/>
        <v>45</v>
      </c>
      <c r="J31" s="397">
        <f>VLOOKUP(($D$5/$C31),$D$55:$I$99,5)</f>
        <v>49</v>
      </c>
      <c r="K31" s="398">
        <f>C31</f>
        <v>1</v>
      </c>
      <c r="L31" s="398" t="str">
        <f>VLOOKUP(($D$5/$C31),$D$55:$I$99,6)</f>
        <v>52-66407H</v>
      </c>
      <c r="M31" s="399">
        <f>VLOOKUP(($D$5/$C31),$D$55:$I$99,4)</f>
        <v>45</v>
      </c>
      <c r="N31" s="383">
        <v>0</v>
      </c>
      <c r="O31" s="400">
        <f>($D$5-(K31*M31))</f>
        <v>4955</v>
      </c>
      <c r="P31" s="382">
        <v>0</v>
      </c>
      <c r="Q31" s="401">
        <v>0</v>
      </c>
      <c r="R31" s="402">
        <f t="shared" si="6"/>
        <v>-0.99099999999999999</v>
      </c>
      <c r="S31" s="128"/>
      <c r="U31" s="385"/>
    </row>
    <row r="32" spans="1:24" hidden="1" x14ac:dyDescent="0.2">
      <c r="A32" s="388">
        <v>80</v>
      </c>
      <c r="B32" s="389" t="s">
        <v>679</v>
      </c>
      <c r="C32" s="390">
        <v>1</v>
      </c>
      <c r="D32" s="391">
        <f t="shared" si="0"/>
        <v>45</v>
      </c>
      <c r="E32" s="392">
        <f t="shared" si="1"/>
        <v>49</v>
      </c>
      <c r="F32" s="393" t="str">
        <f t="shared" si="2"/>
        <v>52-66407H</v>
      </c>
      <c r="G32" s="394">
        <f t="shared" si="3"/>
        <v>45</v>
      </c>
      <c r="H32" s="395">
        <f t="shared" si="4"/>
        <v>-0.99099999999999999</v>
      </c>
      <c r="I32" s="396">
        <f t="shared" si="5"/>
        <v>45</v>
      </c>
      <c r="J32" s="397">
        <f>VLOOKUP(($D$5/$C32),$D$55:$I$99,5)</f>
        <v>49</v>
      </c>
      <c r="K32" s="398">
        <f>C32</f>
        <v>1</v>
      </c>
      <c r="L32" s="398" t="str">
        <f>VLOOKUP(($D$5/$C32),$D$55:$I$99,6)</f>
        <v>52-66407H</v>
      </c>
      <c r="M32" s="399">
        <f>VLOOKUP(($D$5/$C32),$D$55:$I$99,4)</f>
        <v>45</v>
      </c>
      <c r="N32" s="383">
        <v>0</v>
      </c>
      <c r="O32" s="400">
        <f>($D$5-(K32*M32))</f>
        <v>4955</v>
      </c>
      <c r="P32" s="382">
        <v>0</v>
      </c>
      <c r="Q32" s="401">
        <v>0</v>
      </c>
      <c r="R32" s="402">
        <f t="shared" si="6"/>
        <v>-0.99099999999999999</v>
      </c>
      <c r="S32" s="128"/>
    </row>
    <row r="33" spans="1:23" hidden="1" x14ac:dyDescent="0.2">
      <c r="A33" s="127">
        <v>100</v>
      </c>
      <c r="B33" s="58" t="s">
        <v>680</v>
      </c>
      <c r="C33" s="19">
        <v>2</v>
      </c>
      <c r="D33" s="391">
        <f t="shared" si="0"/>
        <v>90</v>
      </c>
      <c r="E33" s="392">
        <f t="shared" si="1"/>
        <v>49</v>
      </c>
      <c r="F33" s="393" t="str">
        <f t="shared" si="2"/>
        <v>52-66407H</v>
      </c>
      <c r="G33" s="394">
        <f t="shared" si="3"/>
        <v>45</v>
      </c>
      <c r="H33" s="395">
        <f t="shared" si="4"/>
        <v>-0.98199999999999998</v>
      </c>
      <c r="I33" s="396">
        <f t="shared" si="5"/>
        <v>90</v>
      </c>
      <c r="J33" s="403">
        <f t="shared" ref="J33:J44" si="7">IF($D$5/$C33&lt;3.8,J32,VLOOKUP(($D$5/$C33),$D$55:$I$99,5))</f>
        <v>49</v>
      </c>
      <c r="K33" s="383">
        <f>IF($D$5/$C33&lt;3.8,K32,C33-1)</f>
        <v>1</v>
      </c>
      <c r="L33" s="399" t="str">
        <f t="shared" ref="L33:L44" si="8">IF($D$5/$C33&lt;3.8,L32,VLOOKUP(($D$5/$C33),$D$55:$I$99,6))</f>
        <v>52-66407H</v>
      </c>
      <c r="M33" s="399">
        <f t="shared" ref="M33:M44" si="9">IF($D$5/$C33&lt;3.8,M32,VLOOKUP(($D$5/$C33),$D$55:$I$99,4))</f>
        <v>45</v>
      </c>
      <c r="N33" s="383">
        <f t="shared" ref="N33:N44" si="10">IF($D$5/$C33&lt;3.8,N32,C33-K33)</f>
        <v>1</v>
      </c>
      <c r="O33" s="400">
        <f t="shared" ref="O33:O44" si="11">IF($N$33=0,O32,($D$5-(K33*M33))/N33)</f>
        <v>4955</v>
      </c>
      <c r="P33" s="382" t="str">
        <f t="shared" ref="P33:P44" si="12">IF($O33&lt;0,P32,((VLOOKUP(($O33),$D$55:$I$99,6))))</f>
        <v>52-66407H</v>
      </c>
      <c r="Q33" s="401">
        <f t="shared" ref="Q33:Q44" si="13">IF($O33&lt;0,Q32,((VLOOKUP(($O33),$D$55:$I$99,4))))</f>
        <v>45</v>
      </c>
      <c r="R33" s="402">
        <f t="shared" si="6"/>
        <v>-0.98199999999999998</v>
      </c>
      <c r="S33" s="129"/>
    </row>
    <row r="34" spans="1:23" hidden="1" x14ac:dyDescent="0.2">
      <c r="A34" s="388">
        <v>125</v>
      </c>
      <c r="B34" s="389" t="s">
        <v>681</v>
      </c>
      <c r="C34" s="390">
        <v>3</v>
      </c>
      <c r="D34" s="391">
        <f t="shared" si="0"/>
        <v>135</v>
      </c>
      <c r="E34" s="392">
        <f t="shared" si="1"/>
        <v>49</v>
      </c>
      <c r="F34" s="393" t="str">
        <f t="shared" si="2"/>
        <v>52-66407H</v>
      </c>
      <c r="G34" s="394">
        <f t="shared" si="3"/>
        <v>45</v>
      </c>
      <c r="H34" s="395">
        <f t="shared" si="4"/>
        <v>-0.97299999999999998</v>
      </c>
      <c r="I34" s="396">
        <f t="shared" si="5"/>
        <v>135</v>
      </c>
      <c r="J34" s="403">
        <f t="shared" si="7"/>
        <v>49</v>
      </c>
      <c r="K34" s="383">
        <f>IF($D$5/$C34&lt;3.8,K33,C34-1)</f>
        <v>2</v>
      </c>
      <c r="L34" s="399" t="str">
        <f t="shared" si="8"/>
        <v>52-66407H</v>
      </c>
      <c r="M34" s="399">
        <f t="shared" si="9"/>
        <v>45</v>
      </c>
      <c r="N34" s="383">
        <f t="shared" si="10"/>
        <v>1</v>
      </c>
      <c r="O34" s="400">
        <f t="shared" si="11"/>
        <v>4910</v>
      </c>
      <c r="P34" s="382" t="str">
        <f t="shared" si="12"/>
        <v>52-66407H</v>
      </c>
      <c r="Q34" s="401">
        <f t="shared" si="13"/>
        <v>45</v>
      </c>
      <c r="R34" s="402">
        <f t="shared" si="6"/>
        <v>-0.97299999999999998</v>
      </c>
      <c r="S34" s="4"/>
    </row>
    <row r="35" spans="1:23" hidden="1" x14ac:dyDescent="0.2">
      <c r="A35" s="127">
        <v>150</v>
      </c>
      <c r="B35" s="58" t="s">
        <v>682</v>
      </c>
      <c r="C35" s="19">
        <v>4</v>
      </c>
      <c r="D35" s="391">
        <f t="shared" si="0"/>
        <v>180</v>
      </c>
      <c r="E35" s="392">
        <f t="shared" si="1"/>
        <v>49</v>
      </c>
      <c r="F35" s="393" t="str">
        <f t="shared" si="2"/>
        <v>52-66407H</v>
      </c>
      <c r="G35" s="394">
        <f t="shared" si="3"/>
        <v>45</v>
      </c>
      <c r="H35" s="395">
        <f t="shared" si="4"/>
        <v>-0.96399999999999997</v>
      </c>
      <c r="I35" s="396">
        <f t="shared" si="5"/>
        <v>180</v>
      </c>
      <c r="J35" s="403">
        <f t="shared" si="7"/>
        <v>49</v>
      </c>
      <c r="K35" s="383">
        <f>IF($D$5/$C35&lt;3.8,K34,C35-1)</f>
        <v>3</v>
      </c>
      <c r="L35" s="399" t="str">
        <f t="shared" si="8"/>
        <v>52-66407H</v>
      </c>
      <c r="M35" s="399">
        <f t="shared" si="9"/>
        <v>45</v>
      </c>
      <c r="N35" s="383">
        <f t="shared" si="10"/>
        <v>1</v>
      </c>
      <c r="O35" s="400">
        <f t="shared" si="11"/>
        <v>4865</v>
      </c>
      <c r="P35" s="382" t="str">
        <f t="shared" si="12"/>
        <v>52-66407H</v>
      </c>
      <c r="Q35" s="401">
        <f t="shared" si="13"/>
        <v>45</v>
      </c>
      <c r="R35" s="402">
        <f t="shared" si="6"/>
        <v>-0.96399999999999997</v>
      </c>
      <c r="S35" s="129"/>
    </row>
    <row r="36" spans="1:23" hidden="1" x14ac:dyDescent="0.2">
      <c r="A36" s="388">
        <v>200</v>
      </c>
      <c r="B36" s="389" t="s">
        <v>683</v>
      </c>
      <c r="C36" s="390">
        <v>7</v>
      </c>
      <c r="D36" s="391">
        <f t="shared" si="0"/>
        <v>315</v>
      </c>
      <c r="E36" s="392">
        <f t="shared" si="1"/>
        <v>49</v>
      </c>
      <c r="F36" s="393" t="str">
        <f t="shared" si="2"/>
        <v>52-66407H</v>
      </c>
      <c r="G36" s="394">
        <f t="shared" si="3"/>
        <v>45</v>
      </c>
      <c r="H36" s="395">
        <f t="shared" si="4"/>
        <v>-0.93700000000000006</v>
      </c>
      <c r="I36" s="396">
        <f t="shared" si="5"/>
        <v>315</v>
      </c>
      <c r="J36" s="403">
        <f t="shared" si="7"/>
        <v>49</v>
      </c>
      <c r="K36" s="383">
        <f>IF($D$5/$C36&lt;3.8,K35,C36-1)</f>
        <v>6</v>
      </c>
      <c r="L36" s="399" t="str">
        <f t="shared" si="8"/>
        <v>52-66407H</v>
      </c>
      <c r="M36" s="399">
        <f t="shared" si="9"/>
        <v>45</v>
      </c>
      <c r="N36" s="383">
        <f t="shared" si="10"/>
        <v>1</v>
      </c>
      <c r="O36" s="400">
        <f t="shared" si="11"/>
        <v>4730</v>
      </c>
      <c r="P36" s="382" t="str">
        <f t="shared" si="12"/>
        <v>52-66407H</v>
      </c>
      <c r="Q36" s="401">
        <f t="shared" si="13"/>
        <v>45</v>
      </c>
      <c r="R36" s="402">
        <f t="shared" si="6"/>
        <v>-0.93700000000000006</v>
      </c>
    </row>
    <row r="37" spans="1:23" hidden="1" x14ac:dyDescent="0.2">
      <c r="A37" s="127">
        <v>250</v>
      </c>
      <c r="B37" s="58" t="s">
        <v>684</v>
      </c>
      <c r="C37" s="19">
        <v>12</v>
      </c>
      <c r="D37" s="391">
        <f t="shared" si="0"/>
        <v>540</v>
      </c>
      <c r="E37" s="392">
        <f t="shared" si="1"/>
        <v>49</v>
      </c>
      <c r="F37" s="393" t="str">
        <f t="shared" si="2"/>
        <v>52-66407H</v>
      </c>
      <c r="G37" s="394">
        <f t="shared" si="3"/>
        <v>45</v>
      </c>
      <c r="H37" s="395">
        <f t="shared" si="4"/>
        <v>-0.89200000000000002</v>
      </c>
      <c r="I37" s="396">
        <f t="shared" si="5"/>
        <v>540</v>
      </c>
      <c r="J37" s="403">
        <f t="shared" si="7"/>
        <v>49</v>
      </c>
      <c r="K37" s="383">
        <f>IF($D$5/$C37&lt;3.8,K36,C37-2)</f>
        <v>10</v>
      </c>
      <c r="L37" s="399" t="str">
        <f t="shared" si="8"/>
        <v>52-66407H</v>
      </c>
      <c r="M37" s="399">
        <f t="shared" si="9"/>
        <v>45</v>
      </c>
      <c r="N37" s="383">
        <f t="shared" si="10"/>
        <v>2</v>
      </c>
      <c r="O37" s="400">
        <f t="shared" si="11"/>
        <v>2275</v>
      </c>
      <c r="P37" s="382" t="str">
        <f t="shared" si="12"/>
        <v>52-66407H</v>
      </c>
      <c r="Q37" s="401">
        <f t="shared" si="13"/>
        <v>45</v>
      </c>
      <c r="R37" s="402">
        <f t="shared" si="6"/>
        <v>-0.89200000000000002</v>
      </c>
      <c r="S37" s="129"/>
    </row>
    <row r="38" spans="1:23" hidden="1" x14ac:dyDescent="0.2">
      <c r="A38" s="388">
        <v>300</v>
      </c>
      <c r="B38" s="389" t="s">
        <v>685</v>
      </c>
      <c r="C38" s="390">
        <v>15</v>
      </c>
      <c r="D38" s="391">
        <f t="shared" si="0"/>
        <v>675</v>
      </c>
      <c r="E38" s="392">
        <f t="shared" si="1"/>
        <v>49</v>
      </c>
      <c r="F38" s="393" t="str">
        <f t="shared" si="2"/>
        <v>52-66407H</v>
      </c>
      <c r="G38" s="394">
        <f t="shared" si="3"/>
        <v>45</v>
      </c>
      <c r="H38" s="395">
        <f t="shared" si="4"/>
        <v>-0.86499999999999999</v>
      </c>
      <c r="I38" s="396">
        <f t="shared" si="5"/>
        <v>675</v>
      </c>
      <c r="J38" s="403">
        <f t="shared" si="7"/>
        <v>49</v>
      </c>
      <c r="K38" s="383">
        <f>IF($D$5/$C38&lt;3.8,K37,C38-2)</f>
        <v>13</v>
      </c>
      <c r="L38" s="399" t="str">
        <f t="shared" si="8"/>
        <v>52-66407H</v>
      </c>
      <c r="M38" s="399">
        <f t="shared" si="9"/>
        <v>45</v>
      </c>
      <c r="N38" s="383">
        <f t="shared" si="10"/>
        <v>2</v>
      </c>
      <c r="O38" s="400">
        <f t="shared" si="11"/>
        <v>2207.5</v>
      </c>
      <c r="P38" s="382" t="str">
        <f t="shared" si="12"/>
        <v>52-66407H</v>
      </c>
      <c r="Q38" s="401">
        <f t="shared" si="13"/>
        <v>45</v>
      </c>
      <c r="R38" s="402">
        <f t="shared" si="6"/>
        <v>-0.86499999999999999</v>
      </c>
      <c r="S38" s="4"/>
    </row>
    <row r="39" spans="1:23" hidden="1" x14ac:dyDescent="0.2">
      <c r="A39" s="127">
        <v>350</v>
      </c>
      <c r="B39" s="58" t="s">
        <v>686</v>
      </c>
      <c r="C39" s="19">
        <v>19</v>
      </c>
      <c r="D39" s="391">
        <f t="shared" si="0"/>
        <v>855</v>
      </c>
      <c r="E39" s="392">
        <f t="shared" si="1"/>
        <v>49</v>
      </c>
      <c r="F39" s="393" t="str">
        <f t="shared" si="2"/>
        <v>52-66407H</v>
      </c>
      <c r="G39" s="394">
        <f t="shared" si="3"/>
        <v>45</v>
      </c>
      <c r="H39" s="395">
        <f t="shared" si="4"/>
        <v>-0.82899999999999996</v>
      </c>
      <c r="I39" s="396">
        <f t="shared" si="5"/>
        <v>855</v>
      </c>
      <c r="J39" s="403">
        <f t="shared" si="7"/>
        <v>49</v>
      </c>
      <c r="K39" s="383">
        <f>IF($D$5/$C39&lt;3.8,K38,C39-3)</f>
        <v>16</v>
      </c>
      <c r="L39" s="399" t="str">
        <f t="shared" si="8"/>
        <v>52-66407H</v>
      </c>
      <c r="M39" s="399">
        <f t="shared" si="9"/>
        <v>45</v>
      </c>
      <c r="N39" s="383">
        <f t="shared" si="10"/>
        <v>3</v>
      </c>
      <c r="O39" s="400">
        <f t="shared" si="11"/>
        <v>1426.6666666666667</v>
      </c>
      <c r="P39" s="382" t="str">
        <f t="shared" si="12"/>
        <v>52-66407H</v>
      </c>
      <c r="Q39" s="401">
        <f t="shared" si="13"/>
        <v>45</v>
      </c>
      <c r="R39" s="402">
        <f t="shared" si="6"/>
        <v>-0.82899999999999996</v>
      </c>
      <c r="S39" s="4"/>
      <c r="T39" s="135"/>
      <c r="U39" s="135"/>
      <c r="V39" s="25"/>
      <c r="W39" s="136"/>
    </row>
    <row r="40" spans="1:23" hidden="1" x14ac:dyDescent="0.2">
      <c r="A40" s="388">
        <v>400</v>
      </c>
      <c r="B40" s="389" t="s">
        <v>687</v>
      </c>
      <c r="C40" s="390">
        <v>26</v>
      </c>
      <c r="D40" s="391">
        <f t="shared" si="0"/>
        <v>1170</v>
      </c>
      <c r="E40" s="392">
        <f t="shared" si="1"/>
        <v>49</v>
      </c>
      <c r="F40" s="393" t="str">
        <f t="shared" si="2"/>
        <v>52-66407H</v>
      </c>
      <c r="G40" s="394">
        <f t="shared" si="3"/>
        <v>45</v>
      </c>
      <c r="H40" s="395">
        <f t="shared" si="4"/>
        <v>-0.76600000000000001</v>
      </c>
      <c r="I40" s="396">
        <f t="shared" si="5"/>
        <v>1170</v>
      </c>
      <c r="J40" s="403">
        <f t="shared" si="7"/>
        <v>49</v>
      </c>
      <c r="K40" s="383">
        <f>IF($D$5/$C40&lt;3.8,K39,C40-5)</f>
        <v>21</v>
      </c>
      <c r="L40" s="399" t="str">
        <f t="shared" si="8"/>
        <v>52-66407H</v>
      </c>
      <c r="M40" s="399">
        <f t="shared" si="9"/>
        <v>45</v>
      </c>
      <c r="N40" s="383">
        <f t="shared" si="10"/>
        <v>5</v>
      </c>
      <c r="O40" s="400">
        <f t="shared" si="11"/>
        <v>811</v>
      </c>
      <c r="P40" s="382" t="str">
        <f t="shared" si="12"/>
        <v>52-66407H</v>
      </c>
      <c r="Q40" s="401">
        <f t="shared" si="13"/>
        <v>45</v>
      </c>
      <c r="R40" s="402">
        <f t="shared" si="6"/>
        <v>-0.76600000000000001</v>
      </c>
      <c r="S40" s="4"/>
      <c r="T40" s="135"/>
      <c r="U40" s="135"/>
      <c r="V40" s="25"/>
      <c r="W40" s="136"/>
    </row>
    <row r="41" spans="1:23" hidden="1" x14ac:dyDescent="0.2">
      <c r="A41" s="127">
        <v>450</v>
      </c>
      <c r="B41" s="58" t="s">
        <v>688</v>
      </c>
      <c r="C41" s="19">
        <v>33</v>
      </c>
      <c r="D41" s="391">
        <f t="shared" si="0"/>
        <v>1485</v>
      </c>
      <c r="E41" s="392">
        <f t="shared" si="1"/>
        <v>49</v>
      </c>
      <c r="F41" s="393" t="str">
        <f t="shared" si="2"/>
        <v>52-66407H</v>
      </c>
      <c r="G41" s="394">
        <f t="shared" si="3"/>
        <v>45</v>
      </c>
      <c r="H41" s="395">
        <f t="shared" si="4"/>
        <v>-0.70300000000000007</v>
      </c>
      <c r="I41" s="396">
        <f t="shared" si="5"/>
        <v>1485</v>
      </c>
      <c r="J41" s="403">
        <f t="shared" si="7"/>
        <v>49</v>
      </c>
      <c r="K41" s="383">
        <f>IF($D$5/$C41&lt;3.8,K40,C41-10)</f>
        <v>23</v>
      </c>
      <c r="L41" s="399" t="str">
        <f t="shared" si="8"/>
        <v>52-66407H</v>
      </c>
      <c r="M41" s="399">
        <f t="shared" si="9"/>
        <v>45</v>
      </c>
      <c r="N41" s="383">
        <f t="shared" si="10"/>
        <v>10</v>
      </c>
      <c r="O41" s="400">
        <f t="shared" si="11"/>
        <v>396.5</v>
      </c>
      <c r="P41" s="382" t="str">
        <f t="shared" si="12"/>
        <v>52-66407H</v>
      </c>
      <c r="Q41" s="401">
        <f t="shared" si="13"/>
        <v>45</v>
      </c>
      <c r="R41" s="402">
        <f t="shared" si="6"/>
        <v>-0.70300000000000007</v>
      </c>
      <c r="S41" s="4"/>
      <c r="T41" s="135"/>
      <c r="U41" s="135"/>
      <c r="V41" s="25"/>
      <c r="W41" s="404"/>
    </row>
    <row r="42" spans="1:23" hidden="1" x14ac:dyDescent="0.2">
      <c r="A42" s="388">
        <v>500</v>
      </c>
      <c r="B42" s="389" t="s">
        <v>689</v>
      </c>
      <c r="C42" s="390">
        <v>40</v>
      </c>
      <c r="D42" s="391">
        <f t="shared" si="0"/>
        <v>1800</v>
      </c>
      <c r="E42" s="392">
        <f t="shared" si="1"/>
        <v>49</v>
      </c>
      <c r="F42" s="393" t="str">
        <f t="shared" si="2"/>
        <v>52-66407H</v>
      </c>
      <c r="G42" s="394">
        <f t="shared" si="3"/>
        <v>45</v>
      </c>
      <c r="H42" s="395">
        <f t="shared" si="4"/>
        <v>-0.64</v>
      </c>
      <c r="I42" s="396">
        <f t="shared" si="5"/>
        <v>1800</v>
      </c>
      <c r="J42" s="403">
        <f t="shared" si="7"/>
        <v>49</v>
      </c>
      <c r="K42" s="383">
        <f>IF($D$5/$C42&lt;3.8,K41,C42-10)</f>
        <v>30</v>
      </c>
      <c r="L42" s="399" t="str">
        <f t="shared" si="8"/>
        <v>52-66407H</v>
      </c>
      <c r="M42" s="399">
        <f t="shared" si="9"/>
        <v>45</v>
      </c>
      <c r="N42" s="383">
        <f t="shared" si="10"/>
        <v>10</v>
      </c>
      <c r="O42" s="400">
        <f t="shared" si="11"/>
        <v>365</v>
      </c>
      <c r="P42" s="382" t="str">
        <f t="shared" si="12"/>
        <v>52-66407H</v>
      </c>
      <c r="Q42" s="401">
        <f t="shared" si="13"/>
        <v>45</v>
      </c>
      <c r="R42" s="402">
        <f t="shared" si="6"/>
        <v>-0.64</v>
      </c>
      <c r="S42" s="4"/>
      <c r="T42" s="135"/>
      <c r="U42" s="135"/>
      <c r="V42" s="25"/>
      <c r="W42" s="136"/>
    </row>
    <row r="43" spans="1:23" hidden="1" x14ac:dyDescent="0.2">
      <c r="A43" s="127">
        <v>600</v>
      </c>
      <c r="B43" s="58" t="s">
        <v>690</v>
      </c>
      <c r="C43" s="19">
        <v>56</v>
      </c>
      <c r="D43" s="391">
        <f t="shared" si="0"/>
        <v>2520</v>
      </c>
      <c r="E43" s="392">
        <f t="shared" si="1"/>
        <v>49</v>
      </c>
      <c r="F43" s="393" t="str">
        <f t="shared" si="2"/>
        <v>52-66407H</v>
      </c>
      <c r="G43" s="394">
        <f t="shared" si="3"/>
        <v>45</v>
      </c>
      <c r="H43" s="395">
        <f t="shared" si="4"/>
        <v>-0.496</v>
      </c>
      <c r="I43" s="396">
        <f t="shared" si="5"/>
        <v>2520</v>
      </c>
      <c r="J43" s="403">
        <f t="shared" si="7"/>
        <v>49</v>
      </c>
      <c r="K43" s="383">
        <f>IF($D$5/$C43&lt;3.8,K42,C43-15)</f>
        <v>41</v>
      </c>
      <c r="L43" s="399" t="str">
        <f t="shared" si="8"/>
        <v>52-66407H</v>
      </c>
      <c r="M43" s="399">
        <f t="shared" si="9"/>
        <v>45</v>
      </c>
      <c r="N43" s="383">
        <f t="shared" si="10"/>
        <v>15</v>
      </c>
      <c r="O43" s="400">
        <f t="shared" si="11"/>
        <v>210.33333333333334</v>
      </c>
      <c r="P43" s="382" t="str">
        <f t="shared" si="12"/>
        <v>52-66407H</v>
      </c>
      <c r="Q43" s="401">
        <f t="shared" si="13"/>
        <v>45</v>
      </c>
      <c r="R43" s="402">
        <f t="shared" si="6"/>
        <v>-0.496</v>
      </c>
      <c r="S43" s="4"/>
      <c r="T43" s="135"/>
      <c r="U43" s="135"/>
      <c r="V43" s="25"/>
      <c r="W43" s="136"/>
    </row>
    <row r="44" spans="1:23" hidden="1" x14ac:dyDescent="0.2">
      <c r="A44" s="388">
        <v>800</v>
      </c>
      <c r="B44" s="389" t="s">
        <v>691</v>
      </c>
      <c r="C44" s="390">
        <v>85</v>
      </c>
      <c r="D44" s="391">
        <f t="shared" si="0"/>
        <v>3825</v>
      </c>
      <c r="E44" s="392">
        <f t="shared" si="1"/>
        <v>49</v>
      </c>
      <c r="F44" s="393" t="str">
        <f t="shared" si="2"/>
        <v>52-66407H</v>
      </c>
      <c r="G44" s="394">
        <f t="shared" si="3"/>
        <v>45</v>
      </c>
      <c r="H44" s="395">
        <f t="shared" si="4"/>
        <v>-0.23499999999999999</v>
      </c>
      <c r="I44" s="396">
        <f t="shared" si="5"/>
        <v>3825</v>
      </c>
      <c r="J44" s="403">
        <f t="shared" si="7"/>
        <v>49</v>
      </c>
      <c r="K44" s="383">
        <f>IF($D$5/$C44&lt;3.8,K43,C44-20)</f>
        <v>65</v>
      </c>
      <c r="L44" s="399" t="str">
        <f t="shared" si="8"/>
        <v>52-66407H</v>
      </c>
      <c r="M44" s="399">
        <f t="shared" si="9"/>
        <v>45</v>
      </c>
      <c r="N44" s="383">
        <f t="shared" si="10"/>
        <v>20</v>
      </c>
      <c r="O44" s="400">
        <f t="shared" si="11"/>
        <v>103.75</v>
      </c>
      <c r="P44" s="382" t="str">
        <f t="shared" si="12"/>
        <v>52-66407H</v>
      </c>
      <c r="Q44" s="401">
        <f t="shared" si="13"/>
        <v>45</v>
      </c>
      <c r="R44" s="402">
        <f t="shared" si="6"/>
        <v>-0.23499999999999999</v>
      </c>
      <c r="S44" s="4"/>
    </row>
    <row r="45" spans="1:23" hidden="1" x14ac:dyDescent="0.2">
      <c r="A45" s="127">
        <v>900</v>
      </c>
      <c r="B45" s="58" t="s">
        <v>678</v>
      </c>
      <c r="C45" s="19">
        <v>112</v>
      </c>
      <c r="D45" s="391">
        <f t="shared" ref="D45:D46" si="14">IF($D$5/$C45&lt;3.8,D44,VLOOKUP(($D$5/$C45),$D$55:$F$99,1)*$C45)</f>
        <v>4592</v>
      </c>
      <c r="E45" s="392">
        <f t="shared" ref="E45:E46" si="15">IF($D$5/$C45&lt;3.8,E44,VLOOKUP(($D$5/$C45),$D$55:$F$99,2))</f>
        <v>46</v>
      </c>
      <c r="F45" s="393" t="str">
        <f t="shared" ref="F45:F46" si="16">IF($D$5/$C45&lt;3.8,F44,VLOOKUP(($D$5/$C45),$D$55:$F$99,3))</f>
        <v>52-66407</v>
      </c>
      <c r="G45" s="394">
        <f t="shared" ref="G45:G46" si="17">IF($D$5/$C45&lt;3.8,G44,VLOOKUP(($D$5/$C45),$D$55:$F$99,1))</f>
        <v>41</v>
      </c>
      <c r="H45" s="395">
        <f t="shared" ref="H45:H46" si="18">D45/$D$5-1</f>
        <v>-8.1600000000000006E-2</v>
      </c>
      <c r="I45" s="396">
        <f t="shared" ref="I45:I46" si="19">$K45*M45+$N45*Q45</f>
        <v>5040</v>
      </c>
      <c r="J45" s="403">
        <f t="shared" ref="J45:J46" si="20">IF($D$5/$C45&lt;3.8,J44,VLOOKUP(($D$5/$C45),$D$55:$I$99,5))</f>
        <v>49</v>
      </c>
      <c r="K45" s="383">
        <f t="shared" ref="K45:K46" si="21">IF($D$5/$C45&lt;3.8,K44,C45-20)</f>
        <v>92</v>
      </c>
      <c r="L45" s="399" t="str">
        <f t="shared" ref="L45:L46" si="22">IF($D$5/$C45&lt;3.8,L44,VLOOKUP(($D$5/$C45),$D$55:$I$99,6))</f>
        <v>52-66407H</v>
      </c>
      <c r="M45" s="399">
        <f t="shared" ref="M45:M46" si="23">IF($D$5/$C45&lt;3.8,M44,VLOOKUP(($D$5/$C45),$D$55:$I$99,4))</f>
        <v>45</v>
      </c>
      <c r="N45" s="383">
        <f t="shared" ref="N45:N46" si="24">IF($D$5/$C45&lt;3.8,N44,C45-K45)</f>
        <v>20</v>
      </c>
      <c r="O45" s="400">
        <f t="shared" ref="O45:O46" si="25">IF($N$33=0,O44,($D$5-(K45*M45))/N45)</f>
        <v>43</v>
      </c>
      <c r="P45" s="382" t="str">
        <f t="shared" ref="P45:P46" si="26">IF($O45&lt;0,P44,((VLOOKUP(($O45),$D$55:$I$99,6))))</f>
        <v>52-66407H</v>
      </c>
      <c r="Q45" s="401">
        <f t="shared" ref="Q45:Q46" si="27">IF($O45&lt;0,Q44,((VLOOKUP(($O45),$D$55:$I$99,4))))</f>
        <v>45</v>
      </c>
      <c r="R45" s="402">
        <f t="shared" ref="R45:R46" si="28">I45/$D$5-1</f>
        <v>8.0000000000000071E-3</v>
      </c>
      <c r="S45" s="4"/>
    </row>
    <row r="46" spans="1:23" hidden="1" x14ac:dyDescent="0.2">
      <c r="A46" s="388">
        <v>1000</v>
      </c>
      <c r="B46" s="389" t="s">
        <v>677</v>
      </c>
      <c r="C46" s="390">
        <v>136</v>
      </c>
      <c r="D46" s="391">
        <f t="shared" si="14"/>
        <v>4936.7999999999993</v>
      </c>
      <c r="E46" s="392">
        <f t="shared" si="15"/>
        <v>42</v>
      </c>
      <c r="F46" s="393" t="str">
        <f t="shared" si="16"/>
        <v>52-66393</v>
      </c>
      <c r="G46" s="394">
        <f t="shared" si="17"/>
        <v>36.299999999999997</v>
      </c>
      <c r="H46" s="395">
        <f t="shared" si="18"/>
        <v>-1.2640000000000096E-2</v>
      </c>
      <c r="I46" s="396">
        <f t="shared" si="19"/>
        <v>5019.2000000000007</v>
      </c>
      <c r="J46" s="403">
        <f t="shared" si="20"/>
        <v>43</v>
      </c>
      <c r="K46" s="383">
        <f t="shared" si="21"/>
        <v>116</v>
      </c>
      <c r="L46" s="399" t="str">
        <f t="shared" si="22"/>
        <v>52-66398</v>
      </c>
      <c r="M46" s="399">
        <f t="shared" si="23"/>
        <v>37.700000000000003</v>
      </c>
      <c r="N46" s="383">
        <f t="shared" si="24"/>
        <v>20</v>
      </c>
      <c r="O46" s="400">
        <f t="shared" si="25"/>
        <v>31.339999999999964</v>
      </c>
      <c r="P46" s="382" t="str">
        <f t="shared" si="26"/>
        <v>52-66379</v>
      </c>
      <c r="Q46" s="401">
        <f t="shared" si="27"/>
        <v>32.299999999999997</v>
      </c>
      <c r="R46" s="402">
        <f t="shared" si="28"/>
        <v>3.8400000000000656E-3</v>
      </c>
      <c r="S46" s="4"/>
    </row>
    <row r="47" spans="1:23" hidden="1" x14ac:dyDescent="0.2">
      <c r="A47" s="24"/>
      <c r="I47" s="25"/>
      <c r="J47" s="368"/>
      <c r="R47" s="23"/>
      <c r="S47" s="4"/>
    </row>
    <row r="48" spans="1:23" ht="12.75" hidden="1" customHeight="1" x14ac:dyDescent="0.2">
      <c r="A48" s="405"/>
      <c r="B48" s="406" t="s">
        <v>440</v>
      </c>
      <c r="D48" s="135"/>
      <c r="E48" s="135"/>
      <c r="I48" s="170" t="s">
        <v>441</v>
      </c>
      <c r="J48" s="406" t="s">
        <v>442</v>
      </c>
      <c r="K48" s="170"/>
      <c r="L48" s="170"/>
      <c r="M48" s="170"/>
      <c r="N48" s="170"/>
      <c r="O48" s="170"/>
      <c r="R48" s="23"/>
      <c r="S48" s="128"/>
    </row>
    <row r="49" spans="1:19" ht="12.75" hidden="1" customHeight="1" x14ac:dyDescent="0.2">
      <c r="A49" s="405"/>
      <c r="B49" s="407" t="s">
        <v>443</v>
      </c>
      <c r="C49" s="19"/>
      <c r="D49" s="358"/>
      <c r="M49" s="128" t="s">
        <v>444</v>
      </c>
      <c r="R49" s="23"/>
      <c r="S49" s="4"/>
    </row>
    <row r="50" spans="1:19" ht="12.75" hidden="1" customHeight="1" x14ac:dyDescent="0.2">
      <c r="A50" s="405"/>
      <c r="B50" s="406" t="s">
        <v>445</v>
      </c>
      <c r="C50" s="103"/>
      <c r="D50" s="103"/>
      <c r="E50" s="103"/>
      <c r="H50" s="103"/>
      <c r="I50" s="103"/>
      <c r="M50" s="129" t="s">
        <v>446</v>
      </c>
      <c r="R50" s="23"/>
      <c r="S50" s="4"/>
    </row>
    <row r="51" spans="1:19" ht="12.75" hidden="1" customHeight="1" x14ac:dyDescent="0.2">
      <c r="A51" s="408"/>
      <c r="C51" s="1015" t="s">
        <v>447</v>
      </c>
      <c r="D51" s="1015"/>
      <c r="E51" s="1015"/>
      <c r="F51" s="1015"/>
      <c r="G51" s="1015"/>
      <c r="H51" s="1015"/>
      <c r="I51" s="1015"/>
      <c r="J51" s="170"/>
      <c r="R51" s="23"/>
      <c r="S51" s="4"/>
    </row>
    <row r="52" spans="1:19" ht="12.75" hidden="1" customHeight="1" x14ac:dyDescent="0.2">
      <c r="A52" s="409"/>
      <c r="C52" s="923" t="s">
        <v>339</v>
      </c>
      <c r="D52" s="923"/>
      <c r="E52" s="923"/>
      <c r="F52" s="923"/>
      <c r="G52" s="923" t="s">
        <v>338</v>
      </c>
      <c r="H52" s="923"/>
      <c r="I52" s="923"/>
      <c r="M52" t="s">
        <v>448</v>
      </c>
      <c r="R52" s="23"/>
      <c r="S52" s="4"/>
    </row>
    <row r="53" spans="1:19" ht="12.75" hidden="1" customHeight="1" x14ac:dyDescent="0.2">
      <c r="A53" s="408"/>
      <c r="B53" s="272"/>
      <c r="C53" s="103" t="s">
        <v>337</v>
      </c>
      <c r="D53" s="272" t="s">
        <v>422</v>
      </c>
      <c r="E53" s="103" t="s">
        <v>4</v>
      </c>
      <c r="F53" s="103"/>
      <c r="G53" s="272" t="s">
        <v>422</v>
      </c>
      <c r="H53" s="103" t="s">
        <v>4</v>
      </c>
      <c r="I53" s="103"/>
      <c r="K53" s="410"/>
      <c r="L53" s="406"/>
      <c r="R53" s="23"/>
      <c r="S53" s="4"/>
    </row>
    <row r="54" spans="1:19" ht="12.75" hidden="1" customHeight="1" x14ac:dyDescent="0.2">
      <c r="A54" s="24"/>
      <c r="C54" s="103"/>
      <c r="E54" s="103" t="s">
        <v>334</v>
      </c>
      <c r="F54" s="103" t="s">
        <v>336</v>
      </c>
      <c r="G54" s="103"/>
      <c r="H54" s="103" t="s">
        <v>334</v>
      </c>
      <c r="I54" s="103" t="s">
        <v>336</v>
      </c>
      <c r="M54" s="170" t="s">
        <v>449</v>
      </c>
      <c r="R54" s="23"/>
      <c r="S54" s="4"/>
    </row>
    <row r="55" spans="1:19" ht="12.75" hidden="1" customHeight="1" x14ac:dyDescent="0.2">
      <c r="A55" s="408"/>
      <c r="B55" s="411"/>
      <c r="C55" s="412"/>
      <c r="D55" s="411"/>
      <c r="E55" s="103"/>
      <c r="F55" s="103"/>
      <c r="G55" s="411">
        <f t="shared" ref="G55:I98" si="29">D56</f>
        <v>0</v>
      </c>
      <c r="H55" s="103"/>
      <c r="I55" s="103"/>
      <c r="R55" s="23"/>
      <c r="S55" s="4"/>
    </row>
    <row r="56" spans="1:19" ht="12.75" hidden="1" customHeight="1" x14ac:dyDescent="0.2">
      <c r="A56" s="409"/>
      <c r="B56" s="411"/>
      <c r="C56" s="413"/>
      <c r="D56" s="411">
        <v>0</v>
      </c>
      <c r="G56" s="411">
        <f t="shared" si="29"/>
        <v>3.8</v>
      </c>
      <c r="H56" s="413">
        <f t="shared" si="29"/>
        <v>13</v>
      </c>
      <c r="I56" s="411" t="str">
        <f t="shared" si="29"/>
        <v>52-55179</v>
      </c>
      <c r="K56" s="396">
        <f>D30</f>
        <v>45</v>
      </c>
      <c r="L56" s="170" t="s">
        <v>450</v>
      </c>
      <c r="M56" t="s">
        <v>440</v>
      </c>
      <c r="R56" s="23"/>
      <c r="S56" s="4"/>
    </row>
    <row r="57" spans="1:19" ht="12.75" hidden="1" customHeight="1" x14ac:dyDescent="0.2">
      <c r="A57" s="409"/>
      <c r="B57" s="411"/>
      <c r="C57" s="413">
        <v>3820</v>
      </c>
      <c r="D57" s="411">
        <v>3.8</v>
      </c>
      <c r="E57">
        <v>13</v>
      </c>
      <c r="F57" t="s">
        <v>451</v>
      </c>
      <c r="G57" s="411">
        <f t="shared" si="29"/>
        <v>3.9</v>
      </c>
      <c r="H57" s="413">
        <f t="shared" si="29"/>
        <v>13</v>
      </c>
      <c r="I57" s="411" t="str">
        <f t="shared" si="29"/>
        <v>52-55184</v>
      </c>
      <c r="K57" s="414">
        <f>E30</f>
        <v>49</v>
      </c>
      <c r="L57" s="170" t="s">
        <v>452</v>
      </c>
      <c r="M57" t="s">
        <v>453</v>
      </c>
      <c r="R57" s="23"/>
      <c r="S57" s="4"/>
    </row>
    <row r="58" spans="1:19" ht="12.75" hidden="1" customHeight="1" x14ac:dyDescent="0.2">
      <c r="A58" s="409"/>
      <c r="B58" s="411"/>
      <c r="C58">
        <v>3931</v>
      </c>
      <c r="D58" s="411">
        <v>3.9</v>
      </c>
      <c r="E58">
        <v>13</v>
      </c>
      <c r="F58" t="s">
        <v>454</v>
      </c>
      <c r="G58" s="411">
        <f t="shared" si="29"/>
        <v>4</v>
      </c>
      <c r="H58" s="413">
        <f t="shared" si="29"/>
        <v>13</v>
      </c>
      <c r="I58" s="411" t="str">
        <f t="shared" si="29"/>
        <v>52-55189</v>
      </c>
      <c r="K58" s="414" t="str">
        <f>F30</f>
        <v>52-66407H</v>
      </c>
      <c r="L58" s="170" t="s">
        <v>455</v>
      </c>
      <c r="M58" s="415" t="s">
        <v>456</v>
      </c>
      <c r="R58" s="23"/>
      <c r="S58" s="4"/>
    </row>
    <row r="59" spans="1:19" ht="12.75" hidden="1" customHeight="1" x14ac:dyDescent="0.2">
      <c r="A59" s="409"/>
      <c r="B59" s="411"/>
      <c r="C59">
        <v>4049</v>
      </c>
      <c r="D59" s="411">
        <v>4</v>
      </c>
      <c r="E59">
        <v>13</v>
      </c>
      <c r="F59" t="s">
        <v>457</v>
      </c>
      <c r="G59" s="411">
        <f t="shared" si="29"/>
        <v>4.2</v>
      </c>
      <c r="H59" s="413">
        <f t="shared" si="29"/>
        <v>13</v>
      </c>
      <c r="I59" s="411" t="str">
        <f t="shared" si="29"/>
        <v>52-55194</v>
      </c>
      <c r="K59" s="410">
        <f>G30</f>
        <v>45</v>
      </c>
      <c r="L59" s="170" t="s">
        <v>458</v>
      </c>
      <c r="M59" t="s">
        <v>459</v>
      </c>
      <c r="R59" s="23"/>
      <c r="S59" s="4"/>
    </row>
    <row r="60" spans="1:19" ht="12.75" hidden="1" customHeight="1" x14ac:dyDescent="0.2">
      <c r="A60" s="409"/>
      <c r="B60" s="411"/>
      <c r="C60">
        <v>4199</v>
      </c>
      <c r="D60" s="411">
        <v>4.2</v>
      </c>
      <c r="E60">
        <v>13</v>
      </c>
      <c r="F60" t="s">
        <v>460</v>
      </c>
      <c r="G60" s="411">
        <f t="shared" si="29"/>
        <v>4.4000000000000004</v>
      </c>
      <c r="H60" s="413">
        <f t="shared" si="29"/>
        <v>13</v>
      </c>
      <c r="I60" s="411" t="str">
        <f t="shared" si="29"/>
        <v>52-55200</v>
      </c>
      <c r="R60" s="23"/>
      <c r="S60" s="4"/>
    </row>
    <row r="61" spans="1:19" ht="12.75" hidden="1" customHeight="1" x14ac:dyDescent="0.2">
      <c r="A61" s="409"/>
      <c r="B61" s="411"/>
      <c r="C61">
        <v>4399</v>
      </c>
      <c r="D61" s="411">
        <v>4.4000000000000004</v>
      </c>
      <c r="E61">
        <v>13</v>
      </c>
      <c r="F61" t="s">
        <v>461</v>
      </c>
      <c r="G61" s="411">
        <f t="shared" si="29"/>
        <v>4.5999999999999996</v>
      </c>
      <c r="H61" s="413">
        <f t="shared" si="29"/>
        <v>14</v>
      </c>
      <c r="I61" s="411" t="str">
        <f t="shared" si="29"/>
        <v>52-55206</v>
      </c>
      <c r="R61" s="23"/>
      <c r="S61" s="4"/>
    </row>
    <row r="62" spans="1:19" ht="12.75" hidden="1" customHeight="1" x14ac:dyDescent="0.2">
      <c r="A62" s="409"/>
      <c r="B62" s="411"/>
      <c r="C62">
        <v>4640</v>
      </c>
      <c r="D62" s="411">
        <v>4.5999999999999996</v>
      </c>
      <c r="E62">
        <v>14</v>
      </c>
      <c r="F62" t="s">
        <v>462</v>
      </c>
      <c r="G62" s="411">
        <f t="shared" si="29"/>
        <v>5</v>
      </c>
      <c r="H62" s="413">
        <f t="shared" si="29"/>
        <v>14</v>
      </c>
      <c r="I62" s="411" t="str">
        <f t="shared" si="29"/>
        <v>52-55213</v>
      </c>
      <c r="K62" t="s">
        <v>463</v>
      </c>
      <c r="R62" s="23"/>
      <c r="S62" s="4"/>
    </row>
    <row r="63" spans="1:19" ht="12.75" hidden="1" customHeight="1" x14ac:dyDescent="0.2">
      <c r="A63" s="409"/>
      <c r="B63" s="411"/>
      <c r="C63">
        <v>4951</v>
      </c>
      <c r="D63" s="411">
        <v>5</v>
      </c>
      <c r="E63">
        <v>14</v>
      </c>
      <c r="F63" t="s">
        <v>464</v>
      </c>
      <c r="G63" s="411">
        <f t="shared" si="29"/>
        <v>5.3</v>
      </c>
      <c r="H63" s="413">
        <f t="shared" si="29"/>
        <v>14</v>
      </c>
      <c r="I63" s="411" t="str">
        <f t="shared" si="29"/>
        <v>52-55220</v>
      </c>
      <c r="K63" s="416"/>
      <c r="R63" s="23"/>
      <c r="S63" s="4"/>
    </row>
    <row r="64" spans="1:19" ht="12.75" hidden="1" customHeight="1" x14ac:dyDescent="0.2">
      <c r="A64" s="405"/>
      <c r="B64" s="411"/>
      <c r="C64">
        <v>5310</v>
      </c>
      <c r="D64" s="411">
        <v>5.3</v>
      </c>
      <c r="E64">
        <v>14</v>
      </c>
      <c r="F64" t="s">
        <v>465</v>
      </c>
      <c r="G64" s="411">
        <f t="shared" si="29"/>
        <v>5.7</v>
      </c>
      <c r="H64" s="413">
        <f t="shared" si="29"/>
        <v>14</v>
      </c>
      <c r="I64" s="411" t="str">
        <f t="shared" si="29"/>
        <v>52-55227</v>
      </c>
      <c r="K64" s="417"/>
      <c r="R64" s="23"/>
      <c r="S64" s="4"/>
    </row>
    <row r="65" spans="1:19" ht="12.75" hidden="1" customHeight="1" x14ac:dyDescent="0.2">
      <c r="A65" s="409"/>
      <c r="B65" s="411"/>
      <c r="C65">
        <v>5700</v>
      </c>
      <c r="D65" s="411">
        <v>5.7</v>
      </c>
      <c r="E65">
        <v>14</v>
      </c>
      <c r="F65" t="s">
        <v>466</v>
      </c>
      <c r="G65" s="411">
        <f t="shared" si="29"/>
        <v>6.2</v>
      </c>
      <c r="H65" s="413">
        <f t="shared" si="29"/>
        <v>14</v>
      </c>
      <c r="I65" s="411" t="str">
        <f t="shared" si="29"/>
        <v>52-55235</v>
      </c>
      <c r="K65" s="263" t="s">
        <v>371</v>
      </c>
      <c r="L65" s="417" t="s">
        <v>467</v>
      </c>
      <c r="R65" s="23"/>
      <c r="S65" s="4"/>
    </row>
    <row r="66" spans="1:19" ht="12.75" hidden="1" customHeight="1" x14ac:dyDescent="0.2">
      <c r="A66" s="409"/>
      <c r="B66" s="411"/>
      <c r="C66">
        <v>6209</v>
      </c>
      <c r="D66" s="411">
        <v>6.2</v>
      </c>
      <c r="E66">
        <v>14</v>
      </c>
      <c r="F66" t="s">
        <v>468</v>
      </c>
      <c r="G66" s="411">
        <f t="shared" si="29"/>
        <v>6.5</v>
      </c>
      <c r="H66" s="413">
        <f t="shared" si="29"/>
        <v>14</v>
      </c>
      <c r="I66" s="411" t="str">
        <f t="shared" si="29"/>
        <v>52-55243</v>
      </c>
      <c r="K66" s="390">
        <v>50</v>
      </c>
      <c r="L66" s="170" t="s">
        <v>469</v>
      </c>
      <c r="R66" s="23"/>
      <c r="S66" s="4"/>
    </row>
    <row r="67" spans="1:19" ht="12.75" hidden="1" customHeight="1" x14ac:dyDescent="0.2">
      <c r="A67" s="409"/>
      <c r="B67" s="411"/>
      <c r="C67">
        <v>6511</v>
      </c>
      <c r="D67" s="411">
        <v>6.5</v>
      </c>
      <c r="E67">
        <v>14</v>
      </c>
      <c r="F67" t="s">
        <v>470</v>
      </c>
      <c r="G67" s="411">
        <f t="shared" si="29"/>
        <v>7.1</v>
      </c>
      <c r="H67" s="413">
        <f t="shared" si="29"/>
        <v>14</v>
      </c>
      <c r="I67" s="411" t="str">
        <f t="shared" si="29"/>
        <v>52-55251</v>
      </c>
      <c r="K67" s="19">
        <v>65</v>
      </c>
      <c r="L67" s="407" t="s">
        <v>471</v>
      </c>
      <c r="R67" s="23"/>
      <c r="S67" s="4"/>
    </row>
    <row r="68" spans="1:19" ht="12.75" hidden="1" customHeight="1" x14ac:dyDescent="0.2">
      <c r="A68" s="409"/>
      <c r="B68" s="411"/>
      <c r="C68">
        <v>7081</v>
      </c>
      <c r="D68" s="411">
        <v>7.1</v>
      </c>
      <c r="E68">
        <v>14</v>
      </c>
      <c r="F68" t="s">
        <v>472</v>
      </c>
      <c r="G68" s="411">
        <f t="shared" si="29"/>
        <v>7.9</v>
      </c>
      <c r="H68" s="413">
        <f t="shared" si="29"/>
        <v>15</v>
      </c>
      <c r="I68" s="411" t="str">
        <f t="shared" si="29"/>
        <v>52-55260</v>
      </c>
      <c r="K68" s="390">
        <v>80</v>
      </c>
      <c r="L68" s="170" t="s">
        <v>473</v>
      </c>
      <c r="R68" s="23"/>
      <c r="S68" s="4"/>
    </row>
    <row r="69" spans="1:19" ht="12.75" hidden="1" customHeight="1" x14ac:dyDescent="0.2">
      <c r="A69" s="409"/>
      <c r="B69" s="411"/>
      <c r="C69">
        <v>7901</v>
      </c>
      <c r="D69" s="411">
        <v>7.9</v>
      </c>
      <c r="E69">
        <v>15</v>
      </c>
      <c r="F69" t="s">
        <v>474</v>
      </c>
      <c r="G69" s="411">
        <f t="shared" si="29"/>
        <v>8.9</v>
      </c>
      <c r="H69" s="413">
        <f t="shared" si="29"/>
        <v>16</v>
      </c>
      <c r="I69" s="411" t="str">
        <f t="shared" si="29"/>
        <v>52-55269</v>
      </c>
      <c r="K69" s="19">
        <v>100</v>
      </c>
      <c r="L69" s="170" t="s">
        <v>475</v>
      </c>
      <c r="R69" s="23"/>
      <c r="S69" s="4"/>
    </row>
    <row r="70" spans="1:19" ht="12.75" hidden="1" customHeight="1" x14ac:dyDescent="0.2">
      <c r="A70" s="409"/>
      <c r="B70" s="411"/>
      <c r="C70">
        <v>8900</v>
      </c>
      <c r="D70" s="411">
        <v>8.9</v>
      </c>
      <c r="E70">
        <v>16</v>
      </c>
      <c r="F70" t="s">
        <v>476</v>
      </c>
      <c r="G70" s="411">
        <f t="shared" si="29"/>
        <v>10.4</v>
      </c>
      <c r="H70" s="413">
        <f t="shared" si="29"/>
        <v>19</v>
      </c>
      <c r="I70" s="411" t="str">
        <f t="shared" si="29"/>
        <v>52-55279</v>
      </c>
      <c r="K70" s="390">
        <v>125</v>
      </c>
      <c r="L70" s="170" t="s">
        <v>477</v>
      </c>
      <c r="R70" s="23"/>
      <c r="S70" s="4"/>
    </row>
    <row r="71" spans="1:19" ht="12.75" hidden="1" customHeight="1" x14ac:dyDescent="0.2">
      <c r="A71" s="409"/>
      <c r="B71" s="411"/>
      <c r="C71">
        <v>10399</v>
      </c>
      <c r="D71" s="411">
        <v>10.4</v>
      </c>
      <c r="E71">
        <v>19</v>
      </c>
      <c r="F71" t="s">
        <v>478</v>
      </c>
      <c r="G71" s="411">
        <f t="shared" si="29"/>
        <v>11.4</v>
      </c>
      <c r="H71" s="413">
        <f t="shared" si="29"/>
        <v>22</v>
      </c>
      <c r="I71" s="411" t="str">
        <f t="shared" si="29"/>
        <v>52-55287</v>
      </c>
      <c r="K71" s="19">
        <v>150</v>
      </c>
      <c r="L71" s="170" t="s">
        <v>479</v>
      </c>
      <c r="R71" s="23"/>
      <c r="S71" s="4"/>
    </row>
    <row r="72" spans="1:19" ht="12.75" hidden="1" customHeight="1" x14ac:dyDescent="0.2">
      <c r="A72" s="409"/>
      <c r="B72" s="411"/>
      <c r="C72">
        <v>11355</v>
      </c>
      <c r="D72" s="411">
        <v>11.4</v>
      </c>
      <c r="E72">
        <v>22</v>
      </c>
      <c r="F72" t="s">
        <v>480</v>
      </c>
      <c r="G72" s="411">
        <f t="shared" si="29"/>
        <v>12.5</v>
      </c>
      <c r="H72" s="413">
        <f t="shared" si="29"/>
        <v>23</v>
      </c>
      <c r="I72" s="411" t="str">
        <f t="shared" si="29"/>
        <v>52-55292</v>
      </c>
      <c r="K72" s="390">
        <v>200</v>
      </c>
      <c r="L72" s="170" t="s">
        <v>481</v>
      </c>
      <c r="R72" s="23"/>
      <c r="S72" s="4"/>
    </row>
    <row r="73" spans="1:19" ht="12.75" hidden="1" customHeight="1" x14ac:dyDescent="0.2">
      <c r="A73" s="409"/>
      <c r="B73" s="411"/>
      <c r="C73">
        <v>12491</v>
      </c>
      <c r="D73" s="411">
        <v>12.5</v>
      </c>
      <c r="E73">
        <v>23</v>
      </c>
      <c r="F73" t="s">
        <v>482</v>
      </c>
      <c r="G73" s="411">
        <f t="shared" si="29"/>
        <v>13.4</v>
      </c>
      <c r="H73" s="413">
        <f t="shared" si="29"/>
        <v>24</v>
      </c>
      <c r="I73" s="411" t="str">
        <f t="shared" si="29"/>
        <v>52-55298</v>
      </c>
      <c r="K73" s="19">
        <v>250</v>
      </c>
      <c r="L73" s="170" t="s">
        <v>483</v>
      </c>
      <c r="R73" s="23"/>
      <c r="S73" s="4"/>
    </row>
    <row r="74" spans="1:19" ht="12.75" hidden="1" customHeight="1" x14ac:dyDescent="0.2">
      <c r="A74" s="409"/>
      <c r="B74" s="411"/>
      <c r="C74">
        <v>13399</v>
      </c>
      <c r="D74" s="411">
        <v>13.4</v>
      </c>
      <c r="E74">
        <v>24</v>
      </c>
      <c r="F74" t="s">
        <v>484</v>
      </c>
      <c r="G74" s="411">
        <f t="shared" si="29"/>
        <v>14.8</v>
      </c>
      <c r="H74" s="413">
        <f t="shared" si="29"/>
        <v>27</v>
      </c>
      <c r="I74" s="411" t="str">
        <f t="shared" si="29"/>
        <v>52-55303</v>
      </c>
      <c r="K74" s="390">
        <v>300</v>
      </c>
      <c r="L74" s="170" t="s">
        <v>485</v>
      </c>
      <c r="R74" s="23"/>
      <c r="S74" s="4"/>
    </row>
    <row r="75" spans="1:19" ht="12.75" hidden="1" customHeight="1" x14ac:dyDescent="0.2">
      <c r="A75" s="409"/>
      <c r="B75" s="411"/>
      <c r="C75">
        <v>14762</v>
      </c>
      <c r="D75" s="411">
        <v>14.8</v>
      </c>
      <c r="E75">
        <v>27</v>
      </c>
      <c r="F75" t="s">
        <v>486</v>
      </c>
      <c r="G75" s="411">
        <f t="shared" si="29"/>
        <v>16</v>
      </c>
      <c r="H75" s="413">
        <f t="shared" si="29"/>
        <v>29</v>
      </c>
      <c r="I75" s="411" t="str">
        <f t="shared" si="29"/>
        <v>52-55308</v>
      </c>
      <c r="K75" s="19">
        <v>350</v>
      </c>
      <c r="L75" s="170" t="s">
        <v>487</v>
      </c>
      <c r="R75" s="23"/>
      <c r="S75" s="4"/>
    </row>
    <row r="76" spans="1:19" ht="12.75" hidden="1" customHeight="1" x14ac:dyDescent="0.2">
      <c r="A76" s="409"/>
      <c r="B76" s="411"/>
      <c r="C76">
        <v>15999</v>
      </c>
      <c r="D76" s="411">
        <v>16</v>
      </c>
      <c r="E76">
        <v>29</v>
      </c>
      <c r="F76" t="s">
        <v>488</v>
      </c>
      <c r="G76" s="411">
        <f t="shared" si="29"/>
        <v>17</v>
      </c>
      <c r="H76" s="413">
        <f t="shared" si="29"/>
        <v>34</v>
      </c>
      <c r="I76" s="411" t="str">
        <f t="shared" si="29"/>
        <v>52-66285</v>
      </c>
      <c r="K76" s="390">
        <v>400</v>
      </c>
      <c r="L76" s="170" t="s">
        <v>489</v>
      </c>
      <c r="R76" s="23"/>
      <c r="S76" s="4"/>
    </row>
    <row r="77" spans="1:19" ht="12.75" hidden="1" customHeight="1" x14ac:dyDescent="0.2">
      <c r="A77" s="409"/>
      <c r="B77" s="411"/>
      <c r="C77">
        <v>17037</v>
      </c>
      <c r="D77" s="411">
        <v>17</v>
      </c>
      <c r="E77">
        <v>34</v>
      </c>
      <c r="F77" t="s">
        <v>490</v>
      </c>
      <c r="G77" s="411">
        <f t="shared" si="29"/>
        <v>18.100000000000001</v>
      </c>
      <c r="H77" s="413">
        <f t="shared" si="29"/>
        <v>34</v>
      </c>
      <c r="I77" s="411" t="str">
        <f t="shared" si="29"/>
        <v>52-66292</v>
      </c>
      <c r="K77" s="19">
        <v>450</v>
      </c>
      <c r="L77" s="170" t="s">
        <v>491</v>
      </c>
      <c r="R77" s="23"/>
      <c r="S77" s="4"/>
    </row>
    <row r="78" spans="1:19" ht="12.75" hidden="1" customHeight="1" x14ac:dyDescent="0.2">
      <c r="A78" s="409"/>
      <c r="B78" s="411"/>
      <c r="C78">
        <v>18148</v>
      </c>
      <c r="D78" s="411">
        <v>18.100000000000001</v>
      </c>
      <c r="E78">
        <v>34</v>
      </c>
      <c r="F78" t="s">
        <v>492</v>
      </c>
      <c r="G78" s="411">
        <f t="shared" si="29"/>
        <v>18.8</v>
      </c>
      <c r="H78" s="413">
        <f t="shared" si="29"/>
        <v>35</v>
      </c>
      <c r="I78" s="411" t="str">
        <f t="shared" si="29"/>
        <v>52-66301</v>
      </c>
      <c r="K78" s="390">
        <v>500</v>
      </c>
      <c r="L78" s="170" t="s">
        <v>493</v>
      </c>
      <c r="R78" s="23"/>
      <c r="S78" s="4"/>
    </row>
    <row r="79" spans="1:19" ht="12.75" hidden="1" customHeight="1" x14ac:dyDescent="0.2">
      <c r="A79" s="409"/>
      <c r="B79" s="411"/>
      <c r="C79">
        <v>18797</v>
      </c>
      <c r="D79" s="411">
        <v>18.8</v>
      </c>
      <c r="E79">
        <v>35</v>
      </c>
      <c r="F79" t="s">
        <v>494</v>
      </c>
      <c r="G79" s="411">
        <f t="shared" si="29"/>
        <v>19.5</v>
      </c>
      <c r="H79" s="413">
        <f t="shared" si="29"/>
        <v>35</v>
      </c>
      <c r="I79" s="411" t="str">
        <f t="shared" si="29"/>
        <v>52-66305</v>
      </c>
      <c r="K79" s="19">
        <v>600</v>
      </c>
      <c r="L79" s="170" t="s">
        <v>495</v>
      </c>
      <c r="R79" s="23"/>
      <c r="S79" s="4"/>
    </row>
    <row r="80" spans="1:19" ht="12.75" hidden="1" customHeight="1" x14ac:dyDescent="0.2">
      <c r="A80" s="409"/>
      <c r="B80" s="411"/>
      <c r="C80">
        <v>19467</v>
      </c>
      <c r="D80" s="411">
        <v>19.5</v>
      </c>
      <c r="E80">
        <v>35</v>
      </c>
      <c r="F80" t="s">
        <v>496</v>
      </c>
      <c r="G80" s="411">
        <f t="shared" si="29"/>
        <v>20.5</v>
      </c>
      <c r="H80" s="413">
        <f t="shared" si="29"/>
        <v>35</v>
      </c>
      <c r="I80" s="411" t="str">
        <f t="shared" si="29"/>
        <v>52-66312</v>
      </c>
      <c r="K80" s="390">
        <v>800</v>
      </c>
      <c r="L80" s="170" t="s">
        <v>497</v>
      </c>
      <c r="R80" s="23"/>
      <c r="S80" s="4"/>
    </row>
    <row r="81" spans="1:19" ht="12.75" hidden="1" customHeight="1" x14ac:dyDescent="0.2">
      <c r="A81" s="409"/>
      <c r="B81" s="411"/>
      <c r="C81">
        <v>20464</v>
      </c>
      <c r="D81" s="411">
        <v>20.5</v>
      </c>
      <c r="E81">
        <v>35</v>
      </c>
      <c r="F81" t="s">
        <v>498</v>
      </c>
      <c r="G81" s="411">
        <f t="shared" si="29"/>
        <v>21.5</v>
      </c>
      <c r="H81" s="413">
        <f t="shared" si="29"/>
        <v>36</v>
      </c>
      <c r="I81" s="411" t="str">
        <f t="shared" si="29"/>
        <v>52-66319</v>
      </c>
      <c r="K81" s="19">
        <v>900</v>
      </c>
      <c r="L81" s="446" t="s">
        <v>692</v>
      </c>
      <c r="R81" s="23"/>
      <c r="S81" s="4"/>
    </row>
    <row r="82" spans="1:19" ht="12.75" hidden="1" customHeight="1" x14ac:dyDescent="0.2">
      <c r="A82" s="409"/>
      <c r="B82" s="411"/>
      <c r="C82">
        <v>21527</v>
      </c>
      <c r="D82" s="411">
        <v>21.5</v>
      </c>
      <c r="E82">
        <v>36</v>
      </c>
      <c r="F82" t="s">
        <v>499</v>
      </c>
      <c r="G82" s="411">
        <f t="shared" si="29"/>
        <v>22.4</v>
      </c>
      <c r="H82" s="413">
        <f t="shared" si="29"/>
        <v>36</v>
      </c>
      <c r="I82" s="411" t="str">
        <f t="shared" si="29"/>
        <v>52-66326</v>
      </c>
      <c r="K82" s="390">
        <v>1000</v>
      </c>
      <c r="L82" s="446" t="s">
        <v>693</v>
      </c>
      <c r="R82" s="23"/>
      <c r="S82" s="4"/>
    </row>
    <row r="83" spans="1:19" ht="12.75" hidden="1" customHeight="1" x14ac:dyDescent="0.2">
      <c r="A83" s="409"/>
      <c r="B83" s="411"/>
      <c r="C83">
        <v>22449</v>
      </c>
      <c r="D83" s="411">
        <v>22.4</v>
      </c>
      <c r="E83">
        <v>36</v>
      </c>
      <c r="F83" t="s">
        <v>500</v>
      </c>
      <c r="G83" s="411">
        <f t="shared" si="29"/>
        <v>23.5</v>
      </c>
      <c r="H83" s="413">
        <f t="shared" si="29"/>
        <v>36</v>
      </c>
      <c r="I83" s="411" t="str">
        <f t="shared" si="29"/>
        <v>52-66332</v>
      </c>
      <c r="R83" s="23"/>
      <c r="S83" s="4"/>
    </row>
    <row r="84" spans="1:19" ht="12.75" hidden="1" customHeight="1" x14ac:dyDescent="0.2">
      <c r="A84" s="409"/>
      <c r="B84" s="411"/>
      <c r="C84">
        <v>23482</v>
      </c>
      <c r="D84" s="411">
        <v>23.5</v>
      </c>
      <c r="E84">
        <v>36</v>
      </c>
      <c r="F84" t="s">
        <v>501</v>
      </c>
      <c r="G84" s="411">
        <f t="shared" si="29"/>
        <v>24.5</v>
      </c>
      <c r="H84" s="413">
        <f t="shared" si="29"/>
        <v>37</v>
      </c>
      <c r="I84" s="411" t="str">
        <f t="shared" si="29"/>
        <v>52-66338</v>
      </c>
      <c r="R84" s="23"/>
      <c r="S84" s="4"/>
    </row>
    <row r="85" spans="1:19" ht="12.75" hidden="1" customHeight="1" x14ac:dyDescent="0.2">
      <c r="A85" s="409"/>
      <c r="B85" s="411"/>
      <c r="C85">
        <v>24531</v>
      </c>
      <c r="D85" s="411">
        <v>24.5</v>
      </c>
      <c r="E85">
        <v>37</v>
      </c>
      <c r="F85" t="s">
        <v>502</v>
      </c>
      <c r="G85" s="411">
        <f t="shared" si="29"/>
        <v>25.6</v>
      </c>
      <c r="H85" s="413">
        <f t="shared" si="29"/>
        <v>38</v>
      </c>
      <c r="I85" s="411" t="str">
        <f t="shared" si="29"/>
        <v>52-66344</v>
      </c>
      <c r="R85" s="23"/>
      <c r="S85" s="129"/>
    </row>
    <row r="86" spans="1:19" ht="12.75" hidden="1" customHeight="1" x14ac:dyDescent="0.2">
      <c r="A86" s="409"/>
      <c r="B86" s="411"/>
      <c r="C86">
        <v>25621</v>
      </c>
      <c r="D86" s="411">
        <v>25.6</v>
      </c>
      <c r="E86">
        <v>38</v>
      </c>
      <c r="F86" t="s">
        <v>503</v>
      </c>
      <c r="G86" s="411">
        <f t="shared" si="29"/>
        <v>26.5</v>
      </c>
      <c r="H86" s="413">
        <f t="shared" si="29"/>
        <v>38</v>
      </c>
      <c r="I86" s="411" t="str">
        <f t="shared" si="29"/>
        <v>52-66349</v>
      </c>
      <c r="R86" s="23"/>
    </row>
    <row r="87" spans="1:19" ht="12.75" hidden="1" customHeight="1" x14ac:dyDescent="0.2">
      <c r="A87" s="409"/>
      <c r="B87" s="411"/>
      <c r="C87">
        <v>26528</v>
      </c>
      <c r="D87" s="411">
        <v>26.5</v>
      </c>
      <c r="E87">
        <v>38</v>
      </c>
      <c r="F87" t="s">
        <v>504</v>
      </c>
      <c r="G87" s="411">
        <f t="shared" si="29"/>
        <v>27.7</v>
      </c>
      <c r="H87" s="413">
        <f t="shared" si="29"/>
        <v>38</v>
      </c>
      <c r="I87" s="411" t="str">
        <f t="shared" si="29"/>
        <v>52-66356</v>
      </c>
      <c r="R87" s="23"/>
      <c r="S87" s="129"/>
    </row>
    <row r="88" spans="1:19" ht="12.75" hidden="1" customHeight="1" x14ac:dyDescent="0.2">
      <c r="A88" s="409"/>
      <c r="B88" s="411"/>
      <c r="C88">
        <v>27686</v>
      </c>
      <c r="D88" s="411">
        <v>27.7</v>
      </c>
      <c r="E88">
        <v>38</v>
      </c>
      <c r="F88" t="s">
        <v>505</v>
      </c>
      <c r="G88" s="411">
        <f t="shared" si="29"/>
        <v>29.2</v>
      </c>
      <c r="H88" s="413">
        <f t="shared" si="29"/>
        <v>38</v>
      </c>
      <c r="I88" s="411" t="str">
        <f t="shared" si="29"/>
        <v>52-66362</v>
      </c>
      <c r="R88" s="23"/>
    </row>
    <row r="89" spans="1:19" ht="12.75" hidden="1" customHeight="1" x14ac:dyDescent="0.2">
      <c r="A89" s="409"/>
      <c r="B89" s="411"/>
      <c r="C89">
        <v>29157</v>
      </c>
      <c r="D89" s="411">
        <v>29.2</v>
      </c>
      <c r="E89">
        <v>38</v>
      </c>
      <c r="F89" t="s">
        <v>506</v>
      </c>
      <c r="G89" s="411">
        <f t="shared" si="29"/>
        <v>30</v>
      </c>
      <c r="H89" s="413">
        <f t="shared" si="29"/>
        <v>39</v>
      </c>
      <c r="I89" s="411" t="str">
        <f t="shared" si="29"/>
        <v>52-66367</v>
      </c>
      <c r="R89" s="23"/>
    </row>
    <row r="90" spans="1:19" ht="12.75" hidden="1" customHeight="1" x14ac:dyDescent="0.2">
      <c r="A90" s="409"/>
      <c r="B90" s="411"/>
      <c r="C90">
        <v>29954</v>
      </c>
      <c r="D90" s="411">
        <v>30</v>
      </c>
      <c r="E90">
        <v>39</v>
      </c>
      <c r="F90" t="s">
        <v>507</v>
      </c>
      <c r="G90" s="411">
        <f t="shared" si="29"/>
        <v>31</v>
      </c>
      <c r="H90" s="413">
        <f t="shared" si="29"/>
        <v>39</v>
      </c>
      <c r="I90" s="411" t="str">
        <f t="shared" si="29"/>
        <v>52-66373</v>
      </c>
      <c r="R90" s="23"/>
    </row>
    <row r="91" spans="1:19" ht="12.75" hidden="1" customHeight="1" x14ac:dyDescent="0.2">
      <c r="A91" s="409"/>
      <c r="B91" s="411"/>
      <c r="C91">
        <v>30976</v>
      </c>
      <c r="D91" s="411">
        <v>31</v>
      </c>
      <c r="E91">
        <v>39</v>
      </c>
      <c r="F91" t="s">
        <v>508</v>
      </c>
      <c r="G91" s="411">
        <f t="shared" si="29"/>
        <v>32.299999999999997</v>
      </c>
      <c r="H91" s="413">
        <f t="shared" si="29"/>
        <v>40</v>
      </c>
      <c r="I91" s="411" t="str">
        <f t="shared" si="29"/>
        <v>52-66379</v>
      </c>
      <c r="R91" s="23"/>
    </row>
    <row r="92" spans="1:19" ht="12.75" hidden="1" customHeight="1" x14ac:dyDescent="0.2">
      <c r="A92" s="409"/>
      <c r="B92" s="411"/>
      <c r="C92">
        <v>32260</v>
      </c>
      <c r="D92" s="411">
        <v>32.299999999999997</v>
      </c>
      <c r="E92">
        <v>40</v>
      </c>
      <c r="F92" t="s">
        <v>509</v>
      </c>
      <c r="G92" s="411">
        <f t="shared" si="29"/>
        <v>33.6</v>
      </c>
      <c r="H92" s="413">
        <f t="shared" si="29"/>
        <v>40</v>
      </c>
      <c r="I92" s="411" t="str">
        <f t="shared" si="29"/>
        <v>52-66385</v>
      </c>
      <c r="R92" s="23"/>
    </row>
    <row r="93" spans="1:19" ht="12.75" hidden="1" customHeight="1" x14ac:dyDescent="0.2">
      <c r="A93" s="409"/>
      <c r="B93" s="411"/>
      <c r="C93">
        <v>33565</v>
      </c>
      <c r="D93" s="411">
        <v>33.6</v>
      </c>
      <c r="E93">
        <v>40</v>
      </c>
      <c r="F93" t="s">
        <v>510</v>
      </c>
      <c r="G93" s="411">
        <f t="shared" si="29"/>
        <v>35</v>
      </c>
      <c r="H93" s="413">
        <f t="shared" si="29"/>
        <v>40</v>
      </c>
      <c r="I93" s="411" t="str">
        <f t="shared" si="29"/>
        <v>52-66391</v>
      </c>
      <c r="R93" s="23"/>
    </row>
    <row r="94" spans="1:19" ht="12.75" hidden="1" customHeight="1" x14ac:dyDescent="0.2">
      <c r="A94" s="409"/>
      <c r="B94" s="411"/>
      <c r="C94">
        <v>34953</v>
      </c>
      <c r="D94" s="411">
        <v>35</v>
      </c>
      <c r="E94">
        <v>40</v>
      </c>
      <c r="F94" t="s">
        <v>511</v>
      </c>
      <c r="G94" s="411">
        <f t="shared" si="29"/>
        <v>36.299999999999997</v>
      </c>
      <c r="H94" s="413">
        <f t="shared" si="29"/>
        <v>42</v>
      </c>
      <c r="I94" s="411" t="str">
        <f t="shared" si="29"/>
        <v>52-66393</v>
      </c>
      <c r="R94" s="23"/>
    </row>
    <row r="95" spans="1:19" ht="12.75" hidden="1" customHeight="1" x14ac:dyDescent="0.2">
      <c r="A95" s="409"/>
      <c r="B95" s="411"/>
      <c r="C95">
        <v>36336</v>
      </c>
      <c r="D95" s="411">
        <v>36.299999999999997</v>
      </c>
      <c r="E95">
        <v>42</v>
      </c>
      <c r="F95" t="s">
        <v>512</v>
      </c>
      <c r="G95" s="411">
        <f t="shared" si="29"/>
        <v>37.700000000000003</v>
      </c>
      <c r="H95" s="413">
        <f t="shared" si="29"/>
        <v>43</v>
      </c>
      <c r="I95" s="411" t="str">
        <f t="shared" si="29"/>
        <v>52-66398</v>
      </c>
      <c r="R95" s="23"/>
    </row>
    <row r="96" spans="1:19" ht="12.75" hidden="1" customHeight="1" x14ac:dyDescent="0.2">
      <c r="A96" s="409"/>
      <c r="B96" s="411"/>
      <c r="C96">
        <v>37685</v>
      </c>
      <c r="D96" s="411">
        <v>37.700000000000003</v>
      </c>
      <c r="E96">
        <v>43</v>
      </c>
      <c r="F96" t="s">
        <v>513</v>
      </c>
      <c r="G96" s="411">
        <f t="shared" si="29"/>
        <v>38.6</v>
      </c>
      <c r="H96" s="413">
        <f t="shared" si="29"/>
        <v>44</v>
      </c>
      <c r="I96" s="411" t="str">
        <f t="shared" si="29"/>
        <v>52-66400</v>
      </c>
      <c r="R96" s="23"/>
    </row>
    <row r="97" spans="1:18" ht="12.75" hidden="1" customHeight="1" x14ac:dyDescent="0.2">
      <c r="A97" s="409"/>
      <c r="B97" s="411"/>
      <c r="C97">
        <v>38607</v>
      </c>
      <c r="D97" s="411">
        <v>38.6</v>
      </c>
      <c r="E97">
        <v>44</v>
      </c>
      <c r="F97" t="s">
        <v>514</v>
      </c>
      <c r="G97" s="411">
        <f t="shared" si="29"/>
        <v>41</v>
      </c>
      <c r="H97" s="413">
        <f t="shared" si="29"/>
        <v>46</v>
      </c>
      <c r="I97" s="411" t="str">
        <f t="shared" si="29"/>
        <v>52-66407</v>
      </c>
      <c r="R97" s="23"/>
    </row>
    <row r="98" spans="1:18" ht="12.75" hidden="1" customHeight="1" x14ac:dyDescent="0.2">
      <c r="A98" s="409"/>
      <c r="B98" s="411"/>
      <c r="C98">
        <v>40971</v>
      </c>
      <c r="D98" s="411">
        <v>41</v>
      </c>
      <c r="E98">
        <v>46</v>
      </c>
      <c r="F98" t="s">
        <v>515</v>
      </c>
      <c r="G98" s="411">
        <f t="shared" si="29"/>
        <v>45</v>
      </c>
      <c r="H98" s="413">
        <f t="shared" si="29"/>
        <v>49</v>
      </c>
      <c r="I98" s="411" t="str">
        <f t="shared" si="29"/>
        <v>52-66407H</v>
      </c>
      <c r="R98" s="23"/>
    </row>
    <row r="99" spans="1:18" ht="12.75" hidden="1" customHeight="1" x14ac:dyDescent="0.2">
      <c r="A99" s="409"/>
      <c r="B99" s="411"/>
      <c r="C99">
        <v>45000</v>
      </c>
      <c r="D99" s="411">
        <v>45</v>
      </c>
      <c r="E99">
        <v>49</v>
      </c>
      <c r="F99" t="s">
        <v>516</v>
      </c>
      <c r="G99" s="411">
        <f>D99</f>
        <v>45</v>
      </c>
      <c r="H99" s="413">
        <f>E99</f>
        <v>49</v>
      </c>
      <c r="I99" s="411" t="str">
        <f>F99</f>
        <v>52-66407H</v>
      </c>
      <c r="R99" s="23"/>
    </row>
    <row r="100" spans="1:18" ht="12.75" customHeight="1" thickBot="1" x14ac:dyDescent="0.25">
      <c r="A100" s="408"/>
      <c r="B100" s="19"/>
      <c r="C100" s="19"/>
      <c r="D100" s="135"/>
      <c r="E100" s="135"/>
      <c r="F100" s="135"/>
      <c r="G100" s="135"/>
      <c r="H100" s="418"/>
      <c r="I100" s="135"/>
      <c r="J100" s="135"/>
      <c r="K100" s="135"/>
      <c r="L100" s="135"/>
      <c r="M100" s="135"/>
      <c r="N100" s="418"/>
      <c r="R100" s="23"/>
    </row>
    <row r="101" spans="1:18" ht="12.75" customHeight="1" thickTop="1" x14ac:dyDescent="0.2">
      <c r="A101" s="606" t="s">
        <v>526</v>
      </c>
      <c r="B101" s="11" t="s">
        <v>388</v>
      </c>
      <c r="C101" s="12" t="s">
        <v>532</v>
      </c>
      <c r="R101" s="23"/>
    </row>
    <row r="102" spans="1:18" ht="12.75" customHeight="1" x14ac:dyDescent="0.25">
      <c r="A102" s="538" t="s">
        <v>42</v>
      </c>
      <c r="B102" s="232" t="s">
        <v>422</v>
      </c>
      <c r="C102" s="256" t="s">
        <v>535</v>
      </c>
      <c r="L102" s="419"/>
      <c r="M102" s="420"/>
      <c r="N102" s="420"/>
      <c r="O102" s="420"/>
      <c r="P102" s="420"/>
      <c r="Q102" s="420"/>
      <c r="R102" s="23"/>
    </row>
    <row r="103" spans="1:18" ht="14.25" x14ac:dyDescent="0.2">
      <c r="A103" s="538" t="s">
        <v>371</v>
      </c>
      <c r="B103" s="421"/>
      <c r="C103" s="256"/>
      <c r="L103" s="420"/>
      <c r="M103" s="420"/>
      <c r="N103" s="420"/>
      <c r="O103" s="420"/>
      <c r="P103" s="420"/>
      <c r="Q103" s="420"/>
      <c r="R103" s="23"/>
    </row>
    <row r="104" spans="1:18" ht="15" x14ac:dyDescent="0.25">
      <c r="A104" s="422"/>
      <c r="B104" s="421"/>
      <c r="C104" s="423"/>
      <c r="L104" s="424"/>
      <c r="M104" s="424"/>
      <c r="N104" s="419"/>
      <c r="O104" s="419"/>
      <c r="P104" s="419"/>
      <c r="Q104" s="419"/>
      <c r="R104" s="23"/>
    </row>
    <row r="105" spans="1:18" ht="15" x14ac:dyDescent="0.25">
      <c r="A105" s="257">
        <v>50</v>
      </c>
      <c r="B105" s="425" t="s">
        <v>679</v>
      </c>
      <c r="C105" s="255">
        <v>1</v>
      </c>
      <c r="L105" s="424"/>
      <c r="M105" s="424"/>
      <c r="N105" s="424"/>
      <c r="O105" s="424"/>
      <c r="P105" s="424"/>
      <c r="Q105" s="419"/>
      <c r="R105" s="23"/>
    </row>
    <row r="106" spans="1:18" ht="15" x14ac:dyDescent="0.25">
      <c r="A106" s="538">
        <v>65</v>
      </c>
      <c r="B106" s="426" t="s">
        <v>679</v>
      </c>
      <c r="C106" s="256">
        <v>1</v>
      </c>
      <c r="L106" s="424"/>
      <c r="M106" s="424"/>
      <c r="N106" s="419"/>
      <c r="O106" s="419"/>
      <c r="P106" s="427"/>
      <c r="Q106" s="419"/>
      <c r="R106" s="23"/>
    </row>
    <row r="107" spans="1:18" ht="15" x14ac:dyDescent="0.25">
      <c r="A107" s="257">
        <v>80</v>
      </c>
      <c r="B107" s="425" t="s">
        <v>679</v>
      </c>
      <c r="C107" s="255">
        <v>1</v>
      </c>
      <c r="L107" s="424"/>
      <c r="M107" s="424"/>
      <c r="N107" s="419"/>
      <c r="O107" s="419"/>
      <c r="P107" s="428"/>
      <c r="Q107" s="419"/>
      <c r="R107" s="23"/>
    </row>
    <row r="108" spans="1:18" ht="15" x14ac:dyDescent="0.25">
      <c r="A108" s="538">
        <v>100</v>
      </c>
      <c r="B108" s="426" t="s">
        <v>680</v>
      </c>
      <c r="C108" s="256">
        <v>2</v>
      </c>
      <c r="L108" s="424"/>
      <c r="M108" s="424"/>
      <c r="N108" s="419"/>
      <c r="O108" s="419"/>
      <c r="P108" s="419"/>
      <c r="Q108" s="419"/>
      <c r="R108" s="23"/>
    </row>
    <row r="109" spans="1:18" ht="15" x14ac:dyDescent="0.25">
      <c r="A109" s="257">
        <v>125</v>
      </c>
      <c r="B109" s="425" t="s">
        <v>681</v>
      </c>
      <c r="C109" s="255">
        <v>3</v>
      </c>
      <c r="L109" s="427"/>
      <c r="M109" s="424"/>
      <c r="N109" s="429"/>
      <c r="O109" s="419"/>
      <c r="P109" s="430"/>
      <c r="Q109" s="419"/>
      <c r="R109" s="23"/>
    </row>
    <row r="110" spans="1:18" ht="15" x14ac:dyDescent="0.25">
      <c r="A110" s="538">
        <v>150</v>
      </c>
      <c r="B110" s="426" t="s">
        <v>682</v>
      </c>
      <c r="C110" s="256">
        <v>4</v>
      </c>
      <c r="L110" s="427"/>
      <c r="M110" s="424"/>
      <c r="N110" s="429"/>
      <c r="O110" s="419"/>
      <c r="P110" s="430"/>
      <c r="Q110" s="419"/>
      <c r="R110" s="23"/>
    </row>
    <row r="111" spans="1:18" ht="15" x14ac:dyDescent="0.25">
      <c r="A111" s="257">
        <v>200</v>
      </c>
      <c r="B111" s="425" t="s">
        <v>683</v>
      </c>
      <c r="C111" s="255">
        <v>7</v>
      </c>
      <c r="L111" s="431"/>
      <c r="M111" s="424"/>
      <c r="N111" s="419"/>
      <c r="O111" s="419"/>
      <c r="P111" s="419"/>
      <c r="Q111" s="419"/>
      <c r="R111" s="23"/>
    </row>
    <row r="112" spans="1:18" x14ac:dyDescent="0.2">
      <c r="A112" s="538">
        <v>250</v>
      </c>
      <c r="B112" s="426" t="s">
        <v>684</v>
      </c>
      <c r="C112" s="256">
        <v>12</v>
      </c>
      <c r="L112" s="103"/>
      <c r="M112" s="103"/>
      <c r="R112" s="23"/>
    </row>
    <row r="113" spans="1:18" x14ac:dyDescent="0.2">
      <c r="A113" s="257">
        <v>300</v>
      </c>
      <c r="B113" s="425" t="s">
        <v>685</v>
      </c>
      <c r="C113" s="255">
        <v>15</v>
      </c>
      <c r="L113" s="103"/>
      <c r="M113" s="103"/>
      <c r="R113" s="23"/>
    </row>
    <row r="114" spans="1:18" x14ac:dyDescent="0.2">
      <c r="A114" s="538">
        <v>350</v>
      </c>
      <c r="B114" s="426" t="s">
        <v>686</v>
      </c>
      <c r="C114" s="256">
        <v>19</v>
      </c>
      <c r="L114" s="103"/>
      <c r="M114" s="103"/>
      <c r="R114" s="23"/>
    </row>
    <row r="115" spans="1:18" x14ac:dyDescent="0.2">
      <c r="A115" s="257">
        <v>400</v>
      </c>
      <c r="B115" s="425" t="s">
        <v>687</v>
      </c>
      <c r="C115" s="255">
        <v>26</v>
      </c>
      <c r="L115" s="103"/>
      <c r="M115" s="103"/>
      <c r="R115" s="23"/>
    </row>
    <row r="116" spans="1:18" x14ac:dyDescent="0.2">
      <c r="A116" s="538">
        <v>450</v>
      </c>
      <c r="B116" s="426" t="s">
        <v>688</v>
      </c>
      <c r="C116" s="256">
        <v>33</v>
      </c>
      <c r="L116" s="103"/>
      <c r="M116" s="103"/>
      <c r="R116" s="23"/>
    </row>
    <row r="117" spans="1:18" x14ac:dyDescent="0.2">
      <c r="A117" s="257">
        <v>500</v>
      </c>
      <c r="B117" s="425" t="s">
        <v>689</v>
      </c>
      <c r="C117" s="255">
        <v>40</v>
      </c>
      <c r="R117" s="23"/>
    </row>
    <row r="118" spans="1:18" x14ac:dyDescent="0.2">
      <c r="A118" s="538">
        <v>600</v>
      </c>
      <c r="B118" s="426" t="s">
        <v>690</v>
      </c>
      <c r="C118" s="256">
        <v>56</v>
      </c>
      <c r="R118" s="23"/>
    </row>
    <row r="119" spans="1:18" x14ac:dyDescent="0.2">
      <c r="A119" s="257">
        <v>800</v>
      </c>
      <c r="B119" s="425" t="s">
        <v>691</v>
      </c>
      <c r="C119" s="255">
        <v>85</v>
      </c>
      <c r="R119" s="23"/>
    </row>
    <row r="120" spans="1:18" x14ac:dyDescent="0.2">
      <c r="A120" s="538">
        <v>900</v>
      </c>
      <c r="B120" s="426" t="s">
        <v>678</v>
      </c>
      <c r="C120" s="256">
        <v>112</v>
      </c>
      <c r="R120" s="23"/>
    </row>
    <row r="121" spans="1:18" ht="13.5" thickBot="1" x14ac:dyDescent="0.25">
      <c r="A121" s="254">
        <v>1000</v>
      </c>
      <c r="B121" s="432" t="s">
        <v>677</v>
      </c>
      <c r="C121" s="253">
        <v>136</v>
      </c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1"/>
    </row>
    <row r="122" spans="1:18" ht="13.5" thickTop="1" x14ac:dyDescent="0.2"/>
  </sheetData>
  <sheetProtection sheet="1" objects="1" scenarios="1"/>
  <mergeCells count="6">
    <mergeCell ref="B1:R1"/>
    <mergeCell ref="A2:R2"/>
    <mergeCell ref="N8:Q8"/>
    <mergeCell ref="C51:I51"/>
    <mergeCell ref="C52:F52"/>
    <mergeCell ref="G52:I52"/>
  </mergeCells>
  <dataValidations count="1">
    <dataValidation type="list" allowBlank="1" showInputMessage="1" showErrorMessage="1" sqref="D14" xr:uid="{0DE1EC23-A927-4E1E-AA19-72DFD6BF12EC}">
      <formula1>$A$105:$A$121</formula1>
    </dataValidation>
  </dataValidations>
  <pageMargins left="0.19685039370078741" right="0.19685039370078741" top="0.59055118110236227" bottom="0.19685039370078741" header="0.51181102362204722" footer="0.51181102362204722"/>
  <pageSetup paperSize="9" scale="9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125"/>
  <sheetViews>
    <sheetView showGridLines="0" zoomScaleNormal="100" workbookViewId="0">
      <selection activeCell="R22" sqref="R22"/>
    </sheetView>
  </sheetViews>
  <sheetFormatPr defaultColWidth="11.140625" defaultRowHeight="12.75" x14ac:dyDescent="0.2"/>
  <cols>
    <col min="1" max="1" width="4.7109375" customWidth="1"/>
    <col min="2" max="2" width="13.85546875" customWidth="1"/>
    <col min="3" max="3" width="9.7109375" customWidth="1"/>
    <col min="4" max="4" width="9.42578125" customWidth="1"/>
    <col min="5" max="5" width="10.42578125" customWidth="1"/>
    <col min="6" max="7" width="10.7109375" customWidth="1"/>
    <col min="8" max="8" width="9.7109375" customWidth="1"/>
    <col min="9" max="9" width="10.7109375" customWidth="1"/>
    <col min="10" max="11" width="11.7109375" customWidth="1"/>
    <col min="12" max="12" width="10.7109375" customWidth="1"/>
    <col min="13" max="13" width="10.140625" customWidth="1"/>
    <col min="14" max="14" width="12.140625" customWidth="1"/>
    <col min="15" max="16" width="8.7109375" customWidth="1"/>
    <col min="17" max="45" width="11.140625" customWidth="1"/>
  </cols>
  <sheetData>
    <row r="1" spans="1:49" ht="21" thickTop="1" x14ac:dyDescent="0.3">
      <c r="A1" s="880" t="s">
        <v>420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92"/>
      <c r="O1" s="347"/>
      <c r="P1" s="346"/>
      <c r="Q1" s="21"/>
      <c r="R1" s="21"/>
      <c r="S1" s="21"/>
      <c r="T1" s="21"/>
      <c r="U1" s="21"/>
      <c r="AI1" s="332"/>
      <c r="AJ1" s="5"/>
      <c r="AK1" s="5"/>
      <c r="AL1" s="5"/>
      <c r="AM1" s="5"/>
      <c r="AN1" s="5"/>
      <c r="AT1" s="24"/>
    </row>
    <row r="2" spans="1:49" ht="21" thickBot="1" x14ac:dyDescent="0.35">
      <c r="A2" s="889" t="s">
        <v>859</v>
      </c>
      <c r="B2" s="890"/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1"/>
      <c r="O2" s="345"/>
      <c r="P2" s="248"/>
      <c r="AI2" s="332"/>
      <c r="AJ2" s="5"/>
      <c r="AK2" s="5"/>
      <c r="AL2" s="5"/>
      <c r="AM2" s="5"/>
      <c r="AN2" s="5"/>
      <c r="AT2" s="24"/>
    </row>
    <row r="3" spans="1:49" ht="19.5" thickTop="1" thickBot="1" x14ac:dyDescent="0.3">
      <c r="A3" s="247"/>
      <c r="O3" s="24"/>
      <c r="R3" s="132"/>
      <c r="S3" s="103"/>
      <c r="T3" s="103"/>
      <c r="U3" s="128"/>
      <c r="W3" s="132"/>
      <c r="X3" s="103"/>
      <c r="Y3" s="103"/>
      <c r="Z3" s="128"/>
      <c r="AI3" s="332"/>
      <c r="AJ3" s="5"/>
      <c r="AK3" s="5"/>
      <c r="AL3" s="5"/>
      <c r="AM3" s="5"/>
      <c r="AN3" s="5"/>
      <c r="AT3" s="24"/>
    </row>
    <row r="4" spans="1:49" ht="13.5" thickBot="1" x14ac:dyDescent="0.25">
      <c r="A4" s="24"/>
      <c r="B4" s="25"/>
      <c r="C4" s="19" t="s">
        <v>25</v>
      </c>
      <c r="E4" s="245" t="s">
        <v>533</v>
      </c>
      <c r="F4" s="244"/>
      <c r="G4" s="244"/>
      <c r="H4" s="243"/>
      <c r="I4" s="242" t="s">
        <v>388</v>
      </c>
      <c r="J4" s="242" t="s">
        <v>419</v>
      </c>
      <c r="K4" s="242" t="s">
        <v>419</v>
      </c>
      <c r="L4" s="242" t="s">
        <v>518</v>
      </c>
      <c r="M4" s="344" t="s">
        <v>518</v>
      </c>
      <c r="N4" s="241" t="s">
        <v>519</v>
      </c>
      <c r="O4" s="127"/>
      <c r="R4" s="132"/>
      <c r="S4" s="132"/>
      <c r="T4" s="132"/>
      <c r="U4" s="132"/>
      <c r="V4" s="132"/>
      <c r="W4" s="132"/>
      <c r="X4" s="132"/>
      <c r="Y4" s="132"/>
      <c r="Z4" s="132"/>
      <c r="AA4" s="132"/>
      <c r="AI4" s="332"/>
      <c r="AJ4" s="5"/>
      <c r="AK4" s="5"/>
      <c r="AL4" s="5"/>
      <c r="AM4" s="5"/>
      <c r="AN4" s="5"/>
      <c r="AT4" s="24"/>
    </row>
    <row r="5" spans="1:49" ht="13.5" thickBot="1" x14ac:dyDescent="0.25">
      <c r="A5" s="24"/>
      <c r="B5" s="25" t="s">
        <v>117</v>
      </c>
      <c r="C5" s="433">
        <v>1500</v>
      </c>
      <c r="D5" s="135" t="s">
        <v>69</v>
      </c>
      <c r="E5" s="240" t="s">
        <v>517</v>
      </c>
      <c r="F5" s="239"/>
      <c r="G5" s="239"/>
      <c r="H5" s="238"/>
      <c r="I5" s="237" t="s">
        <v>387</v>
      </c>
      <c r="J5" s="237" t="s">
        <v>542</v>
      </c>
      <c r="K5" s="343" t="s">
        <v>543</v>
      </c>
      <c r="L5" s="237" t="s">
        <v>333</v>
      </c>
      <c r="M5" s="342" t="s">
        <v>332</v>
      </c>
      <c r="N5" s="236"/>
      <c r="O5" s="127"/>
      <c r="R5" s="132"/>
      <c r="S5" s="132"/>
      <c r="T5" s="132"/>
      <c r="U5" s="132"/>
      <c r="V5" s="132"/>
      <c r="W5" s="132"/>
      <c r="X5" s="132"/>
      <c r="Y5" s="132"/>
      <c r="Z5" s="132"/>
      <c r="AA5" s="132"/>
      <c r="AI5" s="332"/>
      <c r="AJ5" s="5"/>
      <c r="AK5" s="5"/>
      <c r="AL5" s="5"/>
      <c r="AM5" s="5"/>
      <c r="AN5" s="5"/>
      <c r="AT5" s="24"/>
    </row>
    <row r="6" spans="1:49" ht="13.5" thickBot="1" x14ac:dyDescent="0.25">
      <c r="A6" s="24"/>
      <c r="B6" s="234"/>
      <c r="C6" s="19"/>
      <c r="D6" s="19"/>
      <c r="E6" s="25"/>
      <c r="F6" s="25"/>
      <c r="G6" s="25"/>
      <c r="H6" s="25"/>
      <c r="I6" s="19"/>
      <c r="J6" s="19"/>
      <c r="K6" s="19"/>
      <c r="L6" s="19"/>
      <c r="M6" s="19"/>
      <c r="N6" s="25"/>
      <c r="O6" s="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E6" s="234"/>
      <c r="AI6" s="332"/>
      <c r="AJ6" s="5"/>
      <c r="AK6" s="5"/>
      <c r="AL6" s="5"/>
      <c r="AM6" s="5"/>
      <c r="AN6" s="5"/>
      <c r="AT6" s="24"/>
    </row>
    <row r="7" spans="1:49" ht="13.5" thickBot="1" x14ac:dyDescent="0.25">
      <c r="A7" s="24"/>
      <c r="B7" s="235" t="s">
        <v>523</v>
      </c>
      <c r="C7" s="152" t="s">
        <v>397</v>
      </c>
      <c r="D7" s="19"/>
      <c r="E7" s="229" t="s">
        <v>520</v>
      </c>
      <c r="F7" s="228"/>
      <c r="G7" s="228"/>
      <c r="H7" s="228"/>
      <c r="I7" s="572">
        <f>VLOOKUP($C$13,$B$33:$N$38,7)</f>
        <v>1581</v>
      </c>
      <c r="J7" s="572">
        <f>VLOOKUP($C$13,$B$33:$N$38,8)</f>
        <v>23</v>
      </c>
      <c r="K7" s="572">
        <f>VLOOKUP($C$13,$B$33:$N$38,9)</f>
        <v>51</v>
      </c>
      <c r="L7" s="572" t="str">
        <f>VLOOKUP($C$13,$B$33:$N$38,10)</f>
        <v>50-20880</v>
      </c>
      <c r="M7" s="572" t="str">
        <f>VLOOKUP($C$13,$B$33:$N$38,11)</f>
        <v>49-20880</v>
      </c>
      <c r="N7" s="588">
        <f>I7/C5-1</f>
        <v>5.4000000000000048E-2</v>
      </c>
      <c r="O7" s="341"/>
      <c r="R7" s="132"/>
      <c r="S7" s="132"/>
      <c r="T7" s="132"/>
      <c r="U7" s="132"/>
      <c r="V7" s="132"/>
      <c r="W7" s="132"/>
      <c r="X7" s="132"/>
      <c r="Y7" s="132"/>
      <c r="Z7" s="132"/>
      <c r="AA7" s="132"/>
      <c r="AE7" s="234"/>
      <c r="AI7" s="332"/>
      <c r="AJ7" s="5"/>
      <c r="AK7" s="5"/>
      <c r="AL7" s="5"/>
      <c r="AM7" s="5"/>
      <c r="AN7" s="5"/>
      <c r="AT7" s="24"/>
    </row>
    <row r="8" spans="1:49" ht="13.5" thickBot="1" x14ac:dyDescent="0.25">
      <c r="A8" s="24"/>
      <c r="B8" s="233" t="s">
        <v>395</v>
      </c>
      <c r="C8" s="201" t="s">
        <v>394</v>
      </c>
      <c r="D8" s="19"/>
      <c r="E8" s="25"/>
      <c r="F8" s="25"/>
      <c r="G8" s="25"/>
      <c r="H8" s="25"/>
      <c r="I8" s="19"/>
      <c r="J8" s="19"/>
      <c r="K8" s="19"/>
      <c r="L8" s="19"/>
      <c r="M8" s="19"/>
      <c r="N8" s="25"/>
      <c r="O8" s="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I8" s="332"/>
      <c r="AJ8" s="5"/>
      <c r="AK8" s="5"/>
      <c r="AL8" s="5"/>
      <c r="AM8" s="5"/>
      <c r="AN8" s="5"/>
      <c r="AT8" s="24"/>
    </row>
    <row r="9" spans="1:49" ht="13.5" thickBot="1" x14ac:dyDescent="0.25">
      <c r="A9" s="24"/>
      <c r="B9" s="231" t="s">
        <v>392</v>
      </c>
      <c r="C9" s="211" t="s">
        <v>391</v>
      </c>
      <c r="D9" s="135"/>
      <c r="E9" s="229" t="s">
        <v>521</v>
      </c>
      <c r="F9" s="228"/>
      <c r="G9" s="228"/>
      <c r="H9" s="228"/>
      <c r="I9" s="572">
        <f>VLOOKUP($C$13,$B$33:$N$38,2)</f>
        <v>1483</v>
      </c>
      <c r="J9" s="572">
        <f>VLOOKUP($C$13,$B$33:$N$38,3)</f>
        <v>23</v>
      </c>
      <c r="K9" s="572">
        <f>VLOOKUP($C$13,$B$33:$N$38,4)</f>
        <v>47</v>
      </c>
      <c r="L9" s="572" t="str">
        <f>VLOOKUP($C$13,$B$33:$N$38,5)</f>
        <v>50-20860</v>
      </c>
      <c r="M9" s="572" t="str">
        <f>VLOOKUP($C$13,$B$33:$N$38,6)</f>
        <v>49-20860</v>
      </c>
      <c r="N9" s="588">
        <f>I9/C5-1</f>
        <v>-1.1333333333333306E-2</v>
      </c>
      <c r="O9" s="341"/>
      <c r="S9" s="19"/>
      <c r="T9" s="19"/>
      <c r="U9" s="19"/>
      <c r="V9" s="19"/>
      <c r="W9" s="19"/>
      <c r="Y9" s="128"/>
      <c r="AA9" s="132"/>
      <c r="AI9" s="332"/>
      <c r="AJ9" s="5"/>
      <c r="AK9" s="5"/>
      <c r="AL9" s="5"/>
      <c r="AM9" s="5"/>
      <c r="AN9" s="5"/>
      <c r="AT9" s="24"/>
    </row>
    <row r="10" spans="1:49" x14ac:dyDescent="0.2">
      <c r="A10" s="24"/>
      <c r="B10" s="25"/>
      <c r="C10" s="19"/>
      <c r="D10" s="135"/>
      <c r="E10" s="25"/>
      <c r="F10" s="25"/>
      <c r="G10" s="25"/>
      <c r="H10" s="25"/>
      <c r="I10" s="25"/>
      <c r="J10" s="25"/>
      <c r="K10" s="25"/>
      <c r="L10" s="25"/>
      <c r="M10" s="25"/>
      <c r="O10" s="24"/>
      <c r="Q10" s="25"/>
      <c r="S10" s="135"/>
      <c r="T10" s="25"/>
      <c r="U10" s="135"/>
      <c r="W10" s="19"/>
      <c r="AA10" s="132"/>
      <c r="AI10" s="332"/>
      <c r="AJ10" s="5"/>
      <c r="AK10" s="5"/>
      <c r="AL10" s="5"/>
      <c r="AM10" s="5"/>
      <c r="AN10" s="5"/>
      <c r="AT10" s="24"/>
    </row>
    <row r="11" spans="1:49" x14ac:dyDescent="0.2">
      <c r="A11" s="24"/>
      <c r="B11" s="25"/>
      <c r="C11" s="25"/>
      <c r="D11" s="25"/>
      <c r="E11" s="25"/>
      <c r="F11" s="135"/>
      <c r="G11" s="25"/>
      <c r="H11" s="25"/>
      <c r="I11" s="25"/>
      <c r="J11" s="25"/>
      <c r="K11" s="25"/>
      <c r="L11" s="25"/>
      <c r="M11" s="25"/>
      <c r="N11" s="25"/>
      <c r="O11" s="32"/>
      <c r="Q11" s="25"/>
      <c r="S11" s="19"/>
      <c r="T11" s="19"/>
      <c r="U11" s="19"/>
      <c r="V11" s="25"/>
      <c r="W11" s="19"/>
      <c r="AA11" s="132"/>
      <c r="AI11" s="332"/>
      <c r="AJ11" s="5"/>
      <c r="AK11" s="5"/>
      <c r="AL11" s="5"/>
      <c r="AM11" s="5"/>
      <c r="AN11" s="5"/>
      <c r="AT11" s="24"/>
    </row>
    <row r="12" spans="1:49" ht="15.75" thickBot="1" x14ac:dyDescent="0.25">
      <c r="A12" s="24"/>
      <c r="B12" s="25" t="s">
        <v>536</v>
      </c>
      <c r="C12" s="135"/>
      <c r="D12" s="25"/>
      <c r="E12" s="19"/>
      <c r="F12" s="19"/>
      <c r="G12" s="19"/>
      <c r="H12" s="234"/>
      <c r="I12" s="19"/>
      <c r="J12" s="19"/>
      <c r="K12" s="234"/>
      <c r="L12" s="19"/>
      <c r="M12" s="326"/>
      <c r="N12" s="326"/>
      <c r="O12" s="32"/>
      <c r="Q12" s="25"/>
      <c r="R12" s="923"/>
      <c r="S12" s="923"/>
      <c r="T12" s="923"/>
      <c r="U12" s="923"/>
      <c r="V12" s="25"/>
      <c r="W12" s="923"/>
      <c r="X12" s="923"/>
      <c r="Y12" s="923"/>
      <c r="Z12" s="923"/>
      <c r="AA12" s="132"/>
      <c r="AE12" s="25"/>
      <c r="AI12" s="332"/>
      <c r="AJ12" s="5"/>
      <c r="AK12" s="5"/>
      <c r="AL12" s="5"/>
      <c r="AM12" s="5"/>
      <c r="AN12" s="5"/>
      <c r="AT12" s="24"/>
      <c r="AU12" s="25"/>
      <c r="AV12" s="25"/>
      <c r="AW12" s="19"/>
    </row>
    <row r="13" spans="1:49" ht="13.5" thickBot="1" x14ac:dyDescent="0.25">
      <c r="A13" s="24"/>
      <c r="B13" s="25" t="s">
        <v>524</v>
      </c>
      <c r="C13" s="433">
        <v>15</v>
      </c>
      <c r="D13" s="135"/>
      <c r="E13" s="19"/>
      <c r="F13" s="19"/>
      <c r="G13" s="25"/>
      <c r="H13" s="19"/>
      <c r="I13" s="19"/>
      <c r="J13" s="25"/>
      <c r="K13" s="19"/>
      <c r="L13" s="19"/>
      <c r="M13" s="19"/>
      <c r="N13" s="25"/>
      <c r="O13" s="32"/>
      <c r="R13" s="132"/>
      <c r="S13" s="132"/>
      <c r="T13" s="984"/>
      <c r="U13" s="984"/>
      <c r="W13" s="132"/>
      <c r="X13" s="132"/>
      <c r="Y13" s="984"/>
      <c r="Z13" s="984"/>
      <c r="AA13" s="132"/>
      <c r="AE13" s="25"/>
      <c r="AI13" s="332"/>
      <c r="AJ13" s="5"/>
      <c r="AK13" s="5"/>
      <c r="AL13" s="5"/>
      <c r="AM13" s="5"/>
      <c r="AN13" s="5"/>
      <c r="AT13" s="24"/>
      <c r="AU13" s="25"/>
      <c r="AV13" s="25"/>
      <c r="AW13" s="19"/>
    </row>
    <row r="14" spans="1:49" x14ac:dyDescent="0.2">
      <c r="A14" s="24"/>
      <c r="F14" s="25"/>
      <c r="G14" s="25"/>
      <c r="H14" s="25"/>
      <c r="I14" s="25"/>
      <c r="J14" s="25"/>
      <c r="K14" s="25"/>
      <c r="L14" s="25"/>
      <c r="M14" s="25"/>
      <c r="N14" s="25"/>
      <c r="O14" s="32"/>
      <c r="R14" s="19"/>
      <c r="S14" s="19"/>
      <c r="T14" s="19"/>
      <c r="U14" s="19"/>
      <c r="W14" s="19"/>
      <c r="X14" s="19"/>
      <c r="Y14" s="19"/>
      <c r="Z14" s="19"/>
      <c r="AA14" s="132"/>
      <c r="AI14" s="332"/>
      <c r="AJ14" s="5"/>
      <c r="AK14" s="5"/>
      <c r="AL14" s="5"/>
      <c r="AM14" s="5"/>
      <c r="AN14" s="5"/>
      <c r="AT14" s="24"/>
      <c r="AU14" s="25"/>
      <c r="AV14" s="25"/>
      <c r="AW14" s="19"/>
    </row>
    <row r="15" spans="1:49" ht="13.5" thickBot="1" x14ac:dyDescent="0.25">
      <c r="A15" s="24"/>
      <c r="B15" s="25" t="s">
        <v>538</v>
      </c>
      <c r="C15" s="13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32"/>
      <c r="Q15" s="25"/>
      <c r="R15" s="135"/>
      <c r="S15" s="135"/>
      <c r="T15" s="135"/>
      <c r="U15" s="135"/>
      <c r="V15" s="136"/>
      <c r="W15" s="135"/>
      <c r="X15" s="135"/>
      <c r="Y15" s="135"/>
      <c r="Z15" s="135"/>
      <c r="AA15" s="132"/>
      <c r="AI15" s="332"/>
      <c r="AJ15" s="5"/>
      <c r="AK15" s="5"/>
      <c r="AL15" s="5"/>
      <c r="AM15" s="5"/>
      <c r="AN15" s="5"/>
      <c r="AT15" s="24"/>
      <c r="AU15" s="25"/>
      <c r="AV15" s="25"/>
      <c r="AW15" s="19"/>
    </row>
    <row r="16" spans="1:49" ht="15.75" thickBot="1" x14ac:dyDescent="0.25">
      <c r="A16" s="24"/>
      <c r="B16" s="331" t="s">
        <v>537</v>
      </c>
      <c r="C16" s="340" t="s">
        <v>518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326"/>
      <c r="O16" s="32"/>
      <c r="Q16" s="25"/>
      <c r="R16" s="135"/>
      <c r="S16" s="135"/>
      <c r="T16" s="135"/>
      <c r="U16" s="135"/>
      <c r="V16" s="136"/>
      <c r="W16" s="135"/>
      <c r="X16" s="135"/>
      <c r="Y16" s="135"/>
      <c r="Z16" s="135"/>
      <c r="AA16" s="132"/>
      <c r="AI16" s="332"/>
      <c r="AJ16" s="5"/>
      <c r="AK16" s="5"/>
      <c r="AL16" s="5"/>
      <c r="AM16" s="5"/>
      <c r="AN16" s="5"/>
      <c r="AT16" s="24"/>
    </row>
    <row r="17" spans="1:46" ht="13.5" thickBot="1" x14ac:dyDescent="0.25">
      <c r="A17" s="24"/>
      <c r="B17" s="572">
        <f>VLOOKUP($C$13,$B$33:$N$35,1)</f>
        <v>15</v>
      </c>
      <c r="C17" s="572" t="str">
        <f>VLOOKUP($C$13,$B$33:$N$35,12)</f>
        <v>48-5803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32"/>
      <c r="Q17" s="25"/>
      <c r="R17" s="135"/>
      <c r="S17" s="135"/>
      <c r="T17" s="135"/>
      <c r="U17" s="135"/>
      <c r="V17" s="136"/>
      <c r="W17" s="135"/>
      <c r="X17" s="135"/>
      <c r="Y17" s="135"/>
      <c r="Z17" s="135"/>
      <c r="AA17" s="132"/>
      <c r="AI17" s="332"/>
      <c r="AJ17" s="5"/>
      <c r="AK17" s="5"/>
      <c r="AL17" s="5"/>
      <c r="AM17" s="5"/>
      <c r="AN17" s="5"/>
      <c r="AT17" s="24"/>
    </row>
    <row r="18" spans="1:46" x14ac:dyDescent="0.2">
      <c r="A18" s="2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32"/>
      <c r="Q18" s="25"/>
      <c r="R18" s="135"/>
      <c r="S18" s="135"/>
      <c r="T18" s="135"/>
      <c r="U18" s="135"/>
      <c r="V18" s="136"/>
      <c r="W18" s="135"/>
      <c r="X18" s="135"/>
      <c r="Y18" s="135"/>
      <c r="Z18" s="135"/>
      <c r="AA18" s="132"/>
      <c r="AI18" s="332"/>
      <c r="AJ18" s="5"/>
      <c r="AK18" s="5"/>
      <c r="AL18" s="5"/>
      <c r="AM18" s="5"/>
      <c r="AN18" s="5"/>
      <c r="AT18" s="24"/>
    </row>
    <row r="19" spans="1:46" ht="13.15" customHeight="1" thickBot="1" x14ac:dyDescent="0.25">
      <c r="A19" s="24"/>
      <c r="B19" s="25" t="s">
        <v>539</v>
      </c>
      <c r="C19" s="25"/>
      <c r="D19" s="25"/>
      <c r="E19" s="25"/>
      <c r="F19" s="25"/>
      <c r="G19" s="25"/>
      <c r="H19" s="25"/>
      <c r="I19" s="25"/>
      <c r="J19" s="339"/>
      <c r="K19" s="25"/>
      <c r="L19" s="25"/>
      <c r="M19" s="25"/>
      <c r="N19" s="25"/>
      <c r="O19" s="32"/>
      <c r="Q19" s="25"/>
      <c r="R19" s="135"/>
      <c r="S19" s="135"/>
      <c r="T19" s="135"/>
      <c r="U19" s="135"/>
      <c r="V19" s="136"/>
      <c r="W19" s="135"/>
      <c r="X19" s="135"/>
      <c r="Y19" s="135"/>
      <c r="Z19" s="135"/>
      <c r="AA19" s="132"/>
      <c r="AI19" s="332"/>
      <c r="AJ19" s="5"/>
      <c r="AK19" s="5"/>
      <c r="AL19" s="5"/>
      <c r="AM19" s="5"/>
      <c r="AN19" s="5"/>
      <c r="AT19" s="24"/>
    </row>
    <row r="20" spans="1:46" ht="13.5" thickBot="1" x14ac:dyDescent="0.25">
      <c r="A20" s="24"/>
      <c r="B20" s="331" t="s">
        <v>537</v>
      </c>
      <c r="C20" s="330" t="s">
        <v>518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32"/>
      <c r="Q20" s="25"/>
      <c r="R20" s="135"/>
      <c r="S20" s="135"/>
      <c r="T20" s="135"/>
      <c r="U20" s="135"/>
      <c r="V20" s="136"/>
      <c r="W20" s="135"/>
      <c r="X20" s="135"/>
      <c r="Y20" s="135"/>
      <c r="Z20" s="135"/>
      <c r="AA20" s="132"/>
      <c r="AI20" s="332"/>
      <c r="AJ20" s="5"/>
      <c r="AK20" s="5"/>
      <c r="AL20" s="5"/>
      <c r="AM20" s="5"/>
      <c r="AN20" s="5"/>
      <c r="AT20" s="24"/>
    </row>
    <row r="21" spans="1:46" ht="15.75" thickBot="1" x14ac:dyDescent="0.25">
      <c r="A21" s="24"/>
      <c r="B21" s="572">
        <f>VLOOKUP($C$13,$B$33:$N$35,1)</f>
        <v>15</v>
      </c>
      <c r="C21" s="572" t="str">
        <f>VLOOKUP($C$13,$B$33:$N$35,13)</f>
        <v>48-5800</v>
      </c>
      <c r="D21" s="25"/>
      <c r="E21" s="25"/>
      <c r="F21" s="25"/>
      <c r="G21" s="19"/>
      <c r="H21" s="25"/>
      <c r="I21" s="25"/>
      <c r="J21" s="326"/>
      <c r="K21" s="25"/>
      <c r="L21" s="25"/>
      <c r="M21" s="25"/>
      <c r="N21" s="25"/>
      <c r="O21" s="32"/>
      <c r="Q21" s="25"/>
      <c r="R21" s="135"/>
      <c r="S21" s="135"/>
      <c r="T21" s="135"/>
      <c r="U21" s="135"/>
      <c r="V21" s="136"/>
      <c r="W21" s="135"/>
      <c r="X21" s="135"/>
      <c r="Y21" s="135"/>
      <c r="Z21" s="135"/>
      <c r="AA21" s="132"/>
      <c r="AI21" s="332"/>
      <c r="AJ21" s="5"/>
      <c r="AK21" s="5"/>
      <c r="AL21" s="5"/>
      <c r="AM21" s="5"/>
      <c r="AN21" s="5"/>
      <c r="AT21" s="24"/>
    </row>
    <row r="22" spans="1:46" ht="13.15" customHeight="1" thickBot="1" x14ac:dyDescent="0.25">
      <c r="A22" s="24"/>
      <c r="B22" s="25"/>
      <c r="C22" s="25"/>
      <c r="D22" s="25"/>
      <c r="E22" s="338" t="s">
        <v>541</v>
      </c>
      <c r="F22" s="337"/>
      <c r="G22" s="336" t="s">
        <v>518</v>
      </c>
      <c r="H22" s="25"/>
      <c r="I22" s="25"/>
      <c r="J22" s="25"/>
      <c r="K22" s="25"/>
      <c r="L22" s="25"/>
      <c r="M22" s="25"/>
      <c r="N22" s="25"/>
      <c r="O22" s="32"/>
      <c r="Q22" s="25"/>
      <c r="R22" s="135"/>
      <c r="S22" s="135"/>
      <c r="T22" s="135"/>
      <c r="U22" s="135"/>
      <c r="V22" s="136"/>
      <c r="W22" s="135"/>
      <c r="X22" s="135"/>
      <c r="Y22" s="135"/>
      <c r="Z22" s="135"/>
      <c r="AA22" s="132"/>
      <c r="AI22" s="332"/>
      <c r="AJ22" s="5"/>
      <c r="AK22" s="5"/>
      <c r="AL22" s="5"/>
      <c r="AM22" s="5"/>
      <c r="AN22" s="5"/>
      <c r="AT22" s="24"/>
    </row>
    <row r="23" spans="1:46" ht="13.5" thickBot="1" x14ac:dyDescent="0.25">
      <c r="A23" s="24"/>
      <c r="B23" s="25" t="s">
        <v>540</v>
      </c>
      <c r="C23" s="25"/>
      <c r="D23" s="25"/>
      <c r="E23" s="335" t="s">
        <v>418</v>
      </c>
      <c r="F23" s="334"/>
      <c r="G23" s="333" t="s">
        <v>659</v>
      </c>
      <c r="H23" s="25"/>
      <c r="I23" s="25"/>
      <c r="J23" s="25"/>
      <c r="K23" s="25"/>
      <c r="L23" s="25"/>
      <c r="M23" s="25"/>
      <c r="N23" s="25"/>
      <c r="O23" s="32"/>
      <c r="Q23" s="25"/>
      <c r="R23" s="135"/>
      <c r="S23" s="135"/>
      <c r="T23" s="135"/>
      <c r="U23" s="135"/>
      <c r="V23" s="136"/>
      <c r="W23" s="135"/>
      <c r="X23" s="135"/>
      <c r="Y23" s="135"/>
      <c r="Z23" s="135"/>
      <c r="AA23" s="132"/>
      <c r="AI23" s="332"/>
      <c r="AJ23" s="5"/>
      <c r="AK23" s="5"/>
      <c r="AL23" s="5"/>
      <c r="AM23" s="5"/>
      <c r="AN23" s="5"/>
      <c r="AT23" s="24"/>
    </row>
    <row r="24" spans="1:46" ht="13.15" customHeight="1" thickBot="1" x14ac:dyDescent="0.25">
      <c r="A24" s="24"/>
      <c r="B24" s="331" t="s">
        <v>405</v>
      </c>
      <c r="C24" s="330" t="s">
        <v>518</v>
      </c>
      <c r="D24" s="25"/>
      <c r="E24" s="329" t="s">
        <v>417</v>
      </c>
      <c r="F24" s="328"/>
      <c r="G24" s="327" t="s">
        <v>660</v>
      </c>
      <c r="H24" s="25"/>
      <c r="I24" s="25"/>
      <c r="J24" s="25"/>
      <c r="K24" s="25"/>
      <c r="L24" s="25"/>
      <c r="M24" s="25"/>
      <c r="N24" s="326"/>
      <c r="O24" s="325"/>
      <c r="Q24" s="25"/>
      <c r="R24" s="135"/>
      <c r="S24" s="135"/>
      <c r="T24" s="135"/>
      <c r="U24" s="135"/>
      <c r="V24" s="136"/>
      <c r="W24" s="135"/>
      <c r="X24" s="135"/>
      <c r="Y24" s="135"/>
      <c r="Z24" s="135"/>
      <c r="AA24" s="132"/>
      <c r="AT24" s="24"/>
    </row>
    <row r="25" spans="1:46" ht="13.5" thickBot="1" x14ac:dyDescent="0.25">
      <c r="A25" s="24"/>
      <c r="B25" s="572">
        <f>VLOOKUP($C$13,$B$38:$N$38,1)</f>
        <v>15</v>
      </c>
      <c r="C25" s="572" t="str">
        <f>VLOOKUP($C$13,$B$38:$N$38,12)</f>
        <v>48-5806</v>
      </c>
      <c r="D25" s="25"/>
      <c r="E25" s="19"/>
      <c r="F25" s="19"/>
      <c r="G25" s="19"/>
      <c r="H25" s="25"/>
      <c r="I25" s="25"/>
      <c r="J25" s="25"/>
      <c r="K25" s="25"/>
      <c r="L25" s="25"/>
      <c r="M25" s="25"/>
      <c r="N25" s="25"/>
      <c r="O25" s="32"/>
      <c r="Q25" s="25"/>
      <c r="R25" s="135"/>
      <c r="S25" s="135"/>
      <c r="T25" s="135"/>
      <c r="U25" s="135"/>
      <c r="V25" s="136"/>
      <c r="W25" s="135"/>
      <c r="X25" s="135"/>
      <c r="Y25" s="135"/>
      <c r="Z25" s="135"/>
      <c r="AA25" s="132"/>
      <c r="AT25" s="24"/>
    </row>
    <row r="26" spans="1:46" x14ac:dyDescent="0.2">
      <c r="A26" s="24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32"/>
      <c r="Q26" s="25"/>
      <c r="R26" s="135"/>
      <c r="S26" s="135"/>
      <c r="T26" s="135"/>
      <c r="U26" s="135"/>
      <c r="V26" s="136"/>
      <c r="W26" s="135"/>
      <c r="X26" s="135"/>
      <c r="Y26" s="135"/>
      <c r="Z26" s="135"/>
      <c r="AA26" s="132"/>
      <c r="AT26" s="24"/>
    </row>
    <row r="27" spans="1:46" x14ac:dyDescent="0.2">
      <c r="A27" s="24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32"/>
      <c r="Q27" s="25"/>
      <c r="R27" s="135"/>
      <c r="S27" s="135"/>
      <c r="T27" s="135"/>
      <c r="U27" s="135"/>
      <c r="V27" s="136"/>
      <c r="W27" s="135"/>
      <c r="X27" s="135"/>
      <c r="Y27" s="135"/>
      <c r="Z27" s="135"/>
      <c r="AA27" s="132"/>
      <c r="AT27" s="24"/>
    </row>
    <row r="28" spans="1:46" x14ac:dyDescent="0.2">
      <c r="A28" s="24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4"/>
      <c r="Q28" s="25"/>
      <c r="R28" s="216"/>
      <c r="S28" s="135"/>
      <c r="T28" s="135"/>
      <c r="U28" s="135"/>
      <c r="V28" s="136"/>
      <c r="W28" s="135"/>
      <c r="X28" s="135"/>
      <c r="Y28" s="135"/>
      <c r="Z28" s="135"/>
      <c r="AA28" s="132"/>
      <c r="AT28" s="24"/>
    </row>
    <row r="29" spans="1:46" ht="13.5" hidden="1" thickBot="1" x14ac:dyDescent="0.25">
      <c r="A29" s="24"/>
      <c r="B29" s="295" t="s">
        <v>400</v>
      </c>
      <c r="C29" s="1016" t="s">
        <v>385</v>
      </c>
      <c r="D29" s="1017"/>
      <c r="E29" s="1017"/>
      <c r="F29" s="1017"/>
      <c r="G29" s="1018"/>
      <c r="H29" s="1016" t="s">
        <v>384</v>
      </c>
      <c r="I29" s="1017"/>
      <c r="J29" s="1017"/>
      <c r="K29" s="1017"/>
      <c r="L29" s="1018"/>
      <c r="M29" s="1026" t="s">
        <v>416</v>
      </c>
      <c r="N29" s="1027"/>
      <c r="O29" s="32"/>
      <c r="Q29" s="25"/>
      <c r="R29" s="135"/>
      <c r="S29" s="135"/>
      <c r="T29" s="135"/>
      <c r="U29" s="135"/>
      <c r="V29" s="136"/>
      <c r="W29" s="135"/>
      <c r="AA29" s="132"/>
      <c r="AT29" s="24"/>
    </row>
    <row r="30" spans="1:46" hidden="1" x14ac:dyDescent="0.2">
      <c r="A30" s="24"/>
      <c r="B30" s="215" t="s">
        <v>382</v>
      </c>
      <c r="C30" s="199" t="s">
        <v>381</v>
      </c>
      <c r="D30" s="198" t="s">
        <v>380</v>
      </c>
      <c r="E30" s="198" t="s">
        <v>380</v>
      </c>
      <c r="F30" s="197" t="s">
        <v>379</v>
      </c>
      <c r="G30" s="196" t="s">
        <v>379</v>
      </c>
      <c r="H30" s="199" t="s">
        <v>381</v>
      </c>
      <c r="I30" s="198" t="s">
        <v>380</v>
      </c>
      <c r="J30" s="198" t="s">
        <v>380</v>
      </c>
      <c r="K30" s="197" t="s">
        <v>379</v>
      </c>
      <c r="L30" s="196" t="s">
        <v>379</v>
      </c>
      <c r="M30" s="206" t="s">
        <v>379</v>
      </c>
      <c r="N30" s="317" t="s">
        <v>379</v>
      </c>
      <c r="O30" s="127"/>
      <c r="Q30" s="25"/>
      <c r="R30" s="135"/>
      <c r="S30" s="135"/>
      <c r="T30" s="135"/>
      <c r="U30" s="135"/>
      <c r="V30" s="136"/>
      <c r="W30" s="135"/>
      <c r="AA30" s="132"/>
      <c r="AT30" s="24"/>
    </row>
    <row r="31" spans="1:46" hidden="1" x14ac:dyDescent="0.2">
      <c r="A31" s="32"/>
      <c r="B31" s="202" t="s">
        <v>24</v>
      </c>
      <c r="C31" s="186" t="s">
        <v>377</v>
      </c>
      <c r="D31" s="185" t="s">
        <v>415</v>
      </c>
      <c r="E31" s="185" t="s">
        <v>414</v>
      </c>
      <c r="F31" s="184" t="s">
        <v>376</v>
      </c>
      <c r="G31" s="183" t="s">
        <v>375</v>
      </c>
      <c r="H31" s="186" t="s">
        <v>377</v>
      </c>
      <c r="I31" s="185" t="s">
        <v>415</v>
      </c>
      <c r="J31" s="185" t="s">
        <v>414</v>
      </c>
      <c r="K31" s="184" t="s">
        <v>376</v>
      </c>
      <c r="L31" s="183" t="s">
        <v>375</v>
      </c>
      <c r="M31" s="148" t="s">
        <v>413</v>
      </c>
      <c r="N31" s="296" t="s">
        <v>412</v>
      </c>
      <c r="O31" s="127"/>
      <c r="R31" s="132"/>
      <c r="S31" s="132"/>
      <c r="T31" s="132"/>
      <c r="W31" s="132"/>
      <c r="X31" s="132"/>
      <c r="Y31" s="132"/>
      <c r="AT31" s="24"/>
    </row>
    <row r="32" spans="1:46" ht="13.5" hidden="1" thickBot="1" x14ac:dyDescent="0.25">
      <c r="A32" s="32"/>
      <c r="B32" s="212" t="s">
        <v>371</v>
      </c>
      <c r="C32" s="177" t="s">
        <v>337</v>
      </c>
      <c r="D32" s="324" t="s">
        <v>370</v>
      </c>
      <c r="E32" s="324" t="s">
        <v>370</v>
      </c>
      <c r="F32" s="175" t="s">
        <v>369</v>
      </c>
      <c r="G32" s="174" t="s">
        <v>368</v>
      </c>
      <c r="H32" s="177" t="s">
        <v>337</v>
      </c>
      <c r="I32" s="176" t="s">
        <v>370</v>
      </c>
      <c r="J32" s="176" t="s">
        <v>370</v>
      </c>
      <c r="K32" s="175" t="s">
        <v>369</v>
      </c>
      <c r="L32" s="174" t="s">
        <v>368</v>
      </c>
      <c r="M32" s="210" t="s">
        <v>367</v>
      </c>
      <c r="N32" s="323" t="s">
        <v>367</v>
      </c>
      <c r="O32" s="127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T32" s="24"/>
    </row>
    <row r="33" spans="1:46" hidden="1" x14ac:dyDescent="0.2">
      <c r="A33" s="24"/>
      <c r="B33" s="208">
        <v>15</v>
      </c>
      <c r="C33" s="322">
        <f>VLOOKUP($C$5,$B$45:$K$82,1)</f>
        <v>1483</v>
      </c>
      <c r="D33" s="321">
        <f>VLOOKUP($C$5,$B$45:$K$82,2)</f>
        <v>23</v>
      </c>
      <c r="E33" s="321">
        <f>VLOOKUP($C$5,$B$45:$K$82,3)</f>
        <v>47</v>
      </c>
      <c r="F33" s="308" t="str">
        <f>VLOOKUP($C$5,$B$45:$K$82,4)</f>
        <v>50-20860</v>
      </c>
      <c r="G33" s="312" t="str">
        <f>VLOOKUP($C$5,$B$45:$K$82,5)</f>
        <v>49-20860</v>
      </c>
      <c r="H33" s="320">
        <f>VLOOKUP($C$5,$B$45:$K$82,6)</f>
        <v>1581</v>
      </c>
      <c r="I33" s="319">
        <f>VLOOKUP($C$5,$B$45:$K$82,7)</f>
        <v>23</v>
      </c>
      <c r="J33" s="318">
        <f>VLOOKUP($C$5,$B$45:$K$82,8)</f>
        <v>51</v>
      </c>
      <c r="K33" s="308" t="str">
        <f>VLOOKUP($C$5,$B$45:$K$82,9)</f>
        <v>50-20880</v>
      </c>
      <c r="L33" s="308" t="str">
        <f>VLOOKUP($C$5,$B$45:$K$82,10)</f>
        <v>49-20880</v>
      </c>
      <c r="M33" s="206" t="s">
        <v>411</v>
      </c>
      <c r="N33" s="317" t="s">
        <v>410</v>
      </c>
      <c r="O33" s="127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T33" s="24"/>
    </row>
    <row r="34" spans="1:46" hidden="1" x14ac:dyDescent="0.2">
      <c r="A34" s="24"/>
      <c r="B34" s="202">
        <v>20</v>
      </c>
      <c r="C34" s="314">
        <f>VLOOKUP($C$5,$B$45:$K$82,1)</f>
        <v>1483</v>
      </c>
      <c r="D34" s="313">
        <f>VLOOKUP($C$5,$B$45:$K$82,2)</f>
        <v>23</v>
      </c>
      <c r="E34" s="313">
        <f>VLOOKUP($C$5,$B$45:$K$82,3)</f>
        <v>47</v>
      </c>
      <c r="F34" s="308" t="str">
        <f>VLOOKUP($C$5,$B$45:$K$82,4)</f>
        <v>50-20860</v>
      </c>
      <c r="G34" s="312" t="str">
        <f>VLOOKUP($C$5,$B$45:$K$82,5)</f>
        <v>49-20860</v>
      </c>
      <c r="H34" s="316">
        <f>VLOOKUP($C$5,$B$45:$K$82,6)</f>
        <v>1581</v>
      </c>
      <c r="I34" s="315">
        <f>VLOOKUP($C$5,$B$45:$K$82,7)</f>
        <v>23</v>
      </c>
      <c r="J34" s="313">
        <f>VLOOKUP($C$5,$B$45:$K$82,8)</f>
        <v>51</v>
      </c>
      <c r="K34" s="308" t="str">
        <f>VLOOKUP($C$5,$B$45:$K$82,9)</f>
        <v>50-20880</v>
      </c>
      <c r="L34" s="308" t="str">
        <f>VLOOKUP($C$5,$B$45:$K$82,10)</f>
        <v>49-20880</v>
      </c>
      <c r="M34" s="148" t="s">
        <v>409</v>
      </c>
      <c r="N34" s="307" t="s">
        <v>408</v>
      </c>
      <c r="O34" s="127"/>
      <c r="W34" s="132"/>
      <c r="X34" s="132"/>
      <c r="Y34" s="132"/>
      <c r="Z34" s="132"/>
      <c r="AA34" s="132"/>
      <c r="AT34" s="24"/>
    </row>
    <row r="35" spans="1:46" hidden="1" x14ac:dyDescent="0.2">
      <c r="A35" s="32"/>
      <c r="B35" s="188">
        <v>25</v>
      </c>
      <c r="C35" s="314">
        <f>VLOOKUP($C$5,$B$45:$K$82,1)</f>
        <v>1483</v>
      </c>
      <c r="D35" s="313">
        <f>VLOOKUP($C$5,$B$45:$K$82,2)</f>
        <v>23</v>
      </c>
      <c r="E35" s="313">
        <f>VLOOKUP($C$5,$B$45:$K$82,3)</f>
        <v>47</v>
      </c>
      <c r="F35" s="308" t="str">
        <f>VLOOKUP($C$5,$B$45:$K$82,4)</f>
        <v>50-20860</v>
      </c>
      <c r="G35" s="312" t="str">
        <f>VLOOKUP($C$5,$B$45:$K$82,5)</f>
        <v>49-20860</v>
      </c>
      <c r="H35" s="311">
        <f>VLOOKUP($C$5,$B$45:$K$82,6)</f>
        <v>1581</v>
      </c>
      <c r="I35" s="310">
        <f>VLOOKUP($C$5,$B$45:$K$82,7)</f>
        <v>23</v>
      </c>
      <c r="J35" s="309">
        <f>VLOOKUP($C$5,$B$45:$K$82,8)</f>
        <v>51</v>
      </c>
      <c r="K35" s="308" t="str">
        <f>VLOOKUP($C$5,$B$45:$K$82,9)</f>
        <v>50-20880</v>
      </c>
      <c r="L35" s="308" t="str">
        <f>VLOOKUP($C$5,$B$45:$K$82,10)</f>
        <v>49-20880</v>
      </c>
      <c r="M35" s="148" t="s">
        <v>407</v>
      </c>
      <c r="N35" s="307" t="s">
        <v>406</v>
      </c>
      <c r="O35" s="127"/>
      <c r="AT35" s="24"/>
    </row>
    <row r="36" spans="1:46" ht="13.9" hidden="1" customHeight="1" thickBot="1" x14ac:dyDescent="0.25">
      <c r="A36" s="32"/>
      <c r="B36" s="306"/>
      <c r="C36" s="305"/>
      <c r="D36" s="304"/>
      <c r="E36" s="304"/>
      <c r="F36" s="299"/>
      <c r="G36" s="303"/>
      <c r="H36" s="302"/>
      <c r="I36" s="301"/>
      <c r="J36" s="300"/>
      <c r="K36" s="299"/>
      <c r="L36" s="298"/>
      <c r="M36" s="297"/>
      <c r="N36" s="296"/>
      <c r="O36" s="127"/>
      <c r="S36" s="129"/>
      <c r="AA36" s="128"/>
      <c r="AT36" s="24"/>
    </row>
    <row r="37" spans="1:46" ht="13.9" hidden="1" customHeight="1" thickBot="1" x14ac:dyDescent="0.25">
      <c r="A37" s="32"/>
      <c r="B37" s="295" t="s">
        <v>399</v>
      </c>
      <c r="C37" s="294"/>
      <c r="D37" s="225"/>
      <c r="E37" s="225"/>
      <c r="F37" s="293"/>
      <c r="G37" s="292"/>
      <c r="H37" s="289"/>
      <c r="I37" s="225"/>
      <c r="J37" s="225"/>
      <c r="K37" s="293"/>
      <c r="L37" s="292"/>
      <c r="M37" s="285" t="s">
        <v>405</v>
      </c>
      <c r="N37" s="284"/>
      <c r="O37" s="127"/>
      <c r="AT37" s="24"/>
    </row>
    <row r="38" spans="1:46" ht="13.9" hidden="1" customHeight="1" thickBot="1" x14ac:dyDescent="0.25">
      <c r="A38" s="291"/>
      <c r="B38" s="290">
        <v>15</v>
      </c>
      <c r="C38" s="289">
        <f>VLOOKUP($C$5,$B$45:$K$82,1)</f>
        <v>1483</v>
      </c>
      <c r="D38" s="288">
        <f>VLOOKUP($C$5,$B$45:$K$82,2)</f>
        <v>23</v>
      </c>
      <c r="E38" s="225">
        <f>VLOOKUP($C$5,$B$45:$K$82,3)</f>
        <v>47</v>
      </c>
      <c r="F38" s="286" t="str">
        <f>VLOOKUP($C$5,$B$45:$K$82,4)</f>
        <v>50-20860</v>
      </c>
      <c r="G38" s="286" t="str">
        <f>VLOOKUP($C$5,$B$45:$K$82,5)</f>
        <v>49-20860</v>
      </c>
      <c r="H38" s="287">
        <f>VLOOKUP($C$5,$B$45:$K$82,6)</f>
        <v>1581</v>
      </c>
      <c r="I38" s="225">
        <f>VLOOKUP($C$5,$B$45:$K$82,7)</f>
        <v>23</v>
      </c>
      <c r="J38" s="225">
        <f>VLOOKUP($C$5,$B$45:$K$82,8)</f>
        <v>51</v>
      </c>
      <c r="K38" s="286" t="str">
        <f>VLOOKUP($C$5,$B$45:$K$82,9)</f>
        <v>50-20880</v>
      </c>
      <c r="L38" s="286" t="str">
        <f>VLOOKUP($C$5,$B$45:$K$82,10)</f>
        <v>49-20880</v>
      </c>
      <c r="M38" s="285" t="s">
        <v>404</v>
      </c>
      <c r="N38" s="284"/>
      <c r="O38" s="283"/>
      <c r="P38" s="131"/>
      <c r="Q38" s="131"/>
      <c r="R38" s="131"/>
      <c r="S38" s="282"/>
      <c r="T38" s="131"/>
      <c r="U38" s="131"/>
      <c r="AT38" s="24"/>
    </row>
    <row r="39" spans="1:46" ht="13.9" hidden="1" customHeight="1" x14ac:dyDescent="0.2">
      <c r="A39" s="32"/>
      <c r="B39" s="170"/>
      <c r="C39" s="170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S39" s="128"/>
      <c r="AT39" s="24"/>
    </row>
    <row r="40" spans="1:46" ht="13.9" hidden="1" customHeight="1" thickBot="1" x14ac:dyDescent="0.25">
      <c r="A40" s="32"/>
      <c r="B40" s="135"/>
      <c r="C40" s="19"/>
      <c r="D40" s="135"/>
      <c r="E40" s="25"/>
      <c r="F40" s="25"/>
      <c r="G40" s="25"/>
      <c r="H40" s="25"/>
      <c r="I40" s="135"/>
      <c r="J40" s="25"/>
      <c r="K40" s="25"/>
      <c r="L40" s="25"/>
      <c r="S40" s="128"/>
      <c r="AT40" s="24"/>
    </row>
    <row r="41" spans="1:46" ht="13.9" hidden="1" customHeight="1" thickBot="1" x14ac:dyDescent="0.25">
      <c r="A41" s="24"/>
      <c r="B41" s="1023" t="s">
        <v>342</v>
      </c>
      <c r="C41" s="1023"/>
      <c r="D41" s="1023"/>
      <c r="E41" s="1023"/>
      <c r="F41" s="1023"/>
      <c r="G41" s="1023"/>
      <c r="H41" s="1023"/>
      <c r="I41" s="1024"/>
      <c r="J41" s="1024"/>
      <c r="K41" s="1025"/>
      <c r="L41" s="1025"/>
      <c r="M41" s="996"/>
      <c r="N41" s="996"/>
      <c r="O41" s="996"/>
      <c r="P41" s="996"/>
      <c r="Q41" s="996"/>
      <c r="R41" s="997"/>
      <c r="S41" s="128" t="s">
        <v>340</v>
      </c>
      <c r="AD41" s="263"/>
      <c r="AT41" s="24"/>
    </row>
    <row r="42" spans="1:46" ht="13.9" hidden="1" customHeight="1" thickBot="1" x14ac:dyDescent="0.25">
      <c r="A42" s="24"/>
      <c r="B42" s="281" t="s">
        <v>339</v>
      </c>
      <c r="C42" s="280"/>
      <c r="D42" s="280"/>
      <c r="E42" s="280"/>
      <c r="F42" s="279"/>
      <c r="G42" s="281" t="s">
        <v>338</v>
      </c>
      <c r="H42" s="280"/>
      <c r="I42" s="280"/>
      <c r="J42" s="280"/>
      <c r="K42" s="279"/>
      <c r="L42" s="278"/>
      <c r="M42" s="277"/>
      <c r="N42" s="276"/>
      <c r="O42" s="1003"/>
      <c r="P42" s="1004"/>
      <c r="Q42" s="1004"/>
      <c r="R42" s="1005"/>
      <c r="AD42" s="263"/>
      <c r="AT42" s="24"/>
    </row>
    <row r="43" spans="1:46" ht="13.9" hidden="1" customHeight="1" x14ac:dyDescent="0.2">
      <c r="A43" s="24"/>
      <c r="B43" s="268" t="s">
        <v>337</v>
      </c>
      <c r="C43" s="169" t="s">
        <v>4</v>
      </c>
      <c r="D43" s="275" t="s">
        <v>403</v>
      </c>
      <c r="E43" s="275"/>
      <c r="F43" s="274"/>
      <c r="G43" s="169" t="s">
        <v>337</v>
      </c>
      <c r="H43" s="169" t="s">
        <v>4</v>
      </c>
      <c r="I43" s="169" t="s">
        <v>403</v>
      </c>
      <c r="J43" s="169" t="s">
        <v>336</v>
      </c>
      <c r="K43" s="273"/>
      <c r="L43" s="273"/>
      <c r="M43" s="1008"/>
      <c r="N43" s="1008"/>
      <c r="O43" s="169"/>
      <c r="P43" s="169"/>
      <c r="Q43" s="1010"/>
      <c r="R43" s="1010"/>
      <c r="S43" s="128" t="s">
        <v>335</v>
      </c>
      <c r="AD43" s="272"/>
      <c r="AT43" s="24"/>
    </row>
    <row r="44" spans="1:46" ht="13.9" hidden="1" customHeight="1" thickBot="1" x14ac:dyDescent="0.25">
      <c r="A44" s="24"/>
      <c r="B44" s="271"/>
      <c r="C44" s="270" t="s">
        <v>334</v>
      </c>
      <c r="D44" s="68" t="s">
        <v>402</v>
      </c>
      <c r="E44" s="270" t="s">
        <v>333</v>
      </c>
      <c r="F44" s="270" t="s">
        <v>332</v>
      </c>
      <c r="G44" s="270"/>
      <c r="H44" s="270" t="s">
        <v>334</v>
      </c>
      <c r="I44" s="270" t="s">
        <v>401</v>
      </c>
      <c r="J44" s="270" t="s">
        <v>333</v>
      </c>
      <c r="K44" s="270" t="s">
        <v>332</v>
      </c>
      <c r="L44" s="269"/>
      <c r="M44" s="2"/>
      <c r="N44" s="2"/>
      <c r="O44" s="2"/>
      <c r="P44" s="2"/>
      <c r="Q44" s="2"/>
      <c r="R44" s="2"/>
      <c r="AD44" s="103"/>
      <c r="AT44" s="24"/>
    </row>
    <row r="45" spans="1:46" ht="13.9" hidden="1" customHeight="1" x14ac:dyDescent="0.2">
      <c r="A45" s="24"/>
      <c r="B45" s="268">
        <v>0</v>
      </c>
      <c r="C45" s="267"/>
      <c r="D45" s="267"/>
      <c r="E45" s="267"/>
      <c r="F45" s="267"/>
      <c r="G45" s="169">
        <v>25</v>
      </c>
      <c r="H45" s="169">
        <v>7</v>
      </c>
      <c r="I45" s="169">
        <v>7</v>
      </c>
      <c r="J45" s="266" t="s">
        <v>331</v>
      </c>
      <c r="K45" s="265" t="s">
        <v>324</v>
      </c>
      <c r="L45" s="265"/>
      <c r="M45" s="3"/>
      <c r="N45" s="3"/>
      <c r="O45" s="3"/>
      <c r="P45" s="3"/>
      <c r="Q45" s="3"/>
      <c r="R45" s="3"/>
      <c r="AD45" s="103"/>
      <c r="AT45" s="24"/>
    </row>
    <row r="46" spans="1:46" ht="13.9" hidden="1" customHeight="1" x14ac:dyDescent="0.2">
      <c r="A46" s="24"/>
      <c r="B46" s="165">
        <v>25</v>
      </c>
      <c r="C46" s="2">
        <v>7</v>
      </c>
      <c r="D46" s="2">
        <v>7</v>
      </c>
      <c r="E46" s="3" t="s">
        <v>331</v>
      </c>
      <c r="F46" s="49" t="s">
        <v>324</v>
      </c>
      <c r="G46" s="2">
        <v>36</v>
      </c>
      <c r="H46" s="2">
        <v>7</v>
      </c>
      <c r="I46" s="2">
        <v>7</v>
      </c>
      <c r="J46" s="3" t="s">
        <v>328</v>
      </c>
      <c r="K46" s="166" t="s">
        <v>324</v>
      </c>
      <c r="L46" s="166"/>
      <c r="M46" s="3"/>
      <c r="N46" s="3"/>
      <c r="O46" s="3"/>
      <c r="P46" s="3"/>
      <c r="Q46" s="3"/>
      <c r="R46" s="3"/>
      <c r="AD46" s="103"/>
      <c r="AT46" s="24"/>
    </row>
    <row r="47" spans="1:46" ht="13.9" hidden="1" customHeight="1" x14ac:dyDescent="0.2">
      <c r="A47" s="24"/>
      <c r="B47" s="165">
        <v>36</v>
      </c>
      <c r="C47" s="2">
        <v>7</v>
      </c>
      <c r="D47" s="2">
        <v>7</v>
      </c>
      <c r="E47" s="3" t="s">
        <v>328</v>
      </c>
      <c r="F47" s="49" t="s">
        <v>324</v>
      </c>
      <c r="G47" s="2">
        <v>43</v>
      </c>
      <c r="H47" s="2">
        <v>7</v>
      </c>
      <c r="I47" s="2">
        <v>7</v>
      </c>
      <c r="J47" s="3" t="s">
        <v>325</v>
      </c>
      <c r="K47" s="166" t="s">
        <v>324</v>
      </c>
      <c r="L47" s="166"/>
      <c r="M47" s="3"/>
      <c r="N47" s="3"/>
      <c r="O47" s="3"/>
      <c r="P47" s="3"/>
      <c r="Q47" s="3"/>
      <c r="R47" s="3"/>
      <c r="AD47" s="103"/>
      <c r="AT47" s="24"/>
    </row>
    <row r="48" spans="1:46" ht="13.9" hidden="1" customHeight="1" x14ac:dyDescent="0.2">
      <c r="A48" s="24"/>
      <c r="B48" s="165">
        <v>43</v>
      </c>
      <c r="C48" s="2">
        <v>7</v>
      </c>
      <c r="D48" s="2">
        <v>7</v>
      </c>
      <c r="E48" s="3" t="s">
        <v>325</v>
      </c>
      <c r="F48" s="49" t="s">
        <v>324</v>
      </c>
      <c r="G48" s="2">
        <v>55</v>
      </c>
      <c r="H48" s="2">
        <v>7</v>
      </c>
      <c r="I48" s="2">
        <v>7</v>
      </c>
      <c r="J48" s="3" t="s">
        <v>321</v>
      </c>
      <c r="K48" s="158" t="s">
        <v>320</v>
      </c>
      <c r="L48" s="158"/>
      <c r="M48" s="3"/>
      <c r="N48" s="3"/>
      <c r="O48" s="3"/>
      <c r="P48" s="3"/>
      <c r="Q48" s="3"/>
      <c r="R48" s="3"/>
      <c r="AD48" s="103"/>
      <c r="AT48" s="24"/>
    </row>
    <row r="49" spans="1:46" ht="13.9" hidden="1" customHeight="1" x14ac:dyDescent="0.2">
      <c r="A49" s="24"/>
      <c r="B49" s="165">
        <v>55</v>
      </c>
      <c r="C49" s="2">
        <v>7</v>
      </c>
      <c r="D49" s="2">
        <v>7</v>
      </c>
      <c r="E49" s="3" t="s">
        <v>321</v>
      </c>
      <c r="F49" s="3" t="s">
        <v>320</v>
      </c>
      <c r="G49" s="2">
        <v>75</v>
      </c>
      <c r="H49" s="2">
        <v>8</v>
      </c>
      <c r="I49" s="2">
        <v>8</v>
      </c>
      <c r="J49" s="3" t="s">
        <v>317</v>
      </c>
      <c r="K49" s="158" t="s">
        <v>316</v>
      </c>
      <c r="L49" s="158"/>
      <c r="M49" s="3"/>
      <c r="N49" s="3"/>
      <c r="O49" s="3"/>
      <c r="P49" s="3"/>
      <c r="Q49" s="3"/>
      <c r="R49" s="3"/>
      <c r="AD49" s="103"/>
      <c r="AT49" s="24"/>
    </row>
    <row r="50" spans="1:46" ht="13.9" hidden="1" customHeight="1" x14ac:dyDescent="0.2">
      <c r="A50" s="24"/>
      <c r="B50" s="165">
        <v>75</v>
      </c>
      <c r="C50" s="2">
        <v>8</v>
      </c>
      <c r="D50" s="2">
        <v>8</v>
      </c>
      <c r="E50" s="3" t="s">
        <v>317</v>
      </c>
      <c r="F50" s="3" t="s">
        <v>316</v>
      </c>
      <c r="G50" s="2">
        <v>84</v>
      </c>
      <c r="H50" s="2">
        <v>9</v>
      </c>
      <c r="I50" s="2">
        <v>9</v>
      </c>
      <c r="J50" s="3" t="s">
        <v>313</v>
      </c>
      <c r="K50" s="158" t="s">
        <v>312</v>
      </c>
      <c r="L50" s="158"/>
      <c r="M50" s="3"/>
      <c r="N50" s="3"/>
      <c r="O50" s="3"/>
      <c r="P50" s="3"/>
      <c r="Q50" s="3"/>
      <c r="R50" s="3"/>
      <c r="AD50" s="103"/>
      <c r="AT50" s="24"/>
    </row>
    <row r="51" spans="1:46" ht="13.9" hidden="1" customHeight="1" x14ac:dyDescent="0.2">
      <c r="A51" s="24"/>
      <c r="B51" s="165">
        <v>84</v>
      </c>
      <c r="C51" s="2">
        <v>9</v>
      </c>
      <c r="D51" s="2">
        <v>9</v>
      </c>
      <c r="E51" s="3" t="s">
        <v>313</v>
      </c>
      <c r="F51" s="3" t="s">
        <v>312</v>
      </c>
      <c r="G51" s="2">
        <v>104</v>
      </c>
      <c r="H51" s="2">
        <v>10</v>
      </c>
      <c r="I51" s="2">
        <v>10</v>
      </c>
      <c r="J51" s="3" t="s">
        <v>309</v>
      </c>
      <c r="K51" s="158" t="s">
        <v>308</v>
      </c>
      <c r="L51" s="158"/>
      <c r="M51" s="3"/>
      <c r="N51" s="3"/>
      <c r="O51" s="3"/>
      <c r="P51" s="3"/>
      <c r="Q51" s="3"/>
      <c r="R51" s="3"/>
      <c r="AD51" s="103"/>
      <c r="AT51" s="24"/>
    </row>
    <row r="52" spans="1:46" ht="13.9" hidden="1" customHeight="1" x14ac:dyDescent="0.2">
      <c r="A52" s="24"/>
      <c r="B52" s="165">
        <v>104</v>
      </c>
      <c r="C52" s="2">
        <v>10</v>
      </c>
      <c r="D52" s="2">
        <v>10</v>
      </c>
      <c r="E52" s="3" t="s">
        <v>309</v>
      </c>
      <c r="F52" s="3" t="s">
        <v>308</v>
      </c>
      <c r="G52" s="2">
        <v>114</v>
      </c>
      <c r="H52" s="2">
        <v>10</v>
      </c>
      <c r="I52" s="2">
        <v>10</v>
      </c>
      <c r="J52" s="3" t="s">
        <v>305</v>
      </c>
      <c r="K52" s="158" t="s">
        <v>304</v>
      </c>
      <c r="L52" s="158"/>
      <c r="M52" s="3"/>
      <c r="N52" s="3"/>
      <c r="O52" s="3"/>
      <c r="P52" s="3"/>
      <c r="Q52" s="3"/>
      <c r="R52" s="3"/>
      <c r="AD52" s="103"/>
      <c r="AT52" s="24"/>
    </row>
    <row r="53" spans="1:46" ht="13.9" hidden="1" customHeight="1" x14ac:dyDescent="0.2">
      <c r="A53" s="24"/>
      <c r="B53" s="165">
        <v>114</v>
      </c>
      <c r="C53" s="2">
        <v>10</v>
      </c>
      <c r="D53" s="2">
        <v>10</v>
      </c>
      <c r="E53" s="3" t="s">
        <v>305</v>
      </c>
      <c r="F53" s="3" t="s">
        <v>304</v>
      </c>
      <c r="G53" s="2">
        <v>129</v>
      </c>
      <c r="H53" s="2">
        <v>11</v>
      </c>
      <c r="I53" s="2">
        <v>11</v>
      </c>
      <c r="J53" s="3" t="s">
        <v>301</v>
      </c>
      <c r="K53" s="158" t="s">
        <v>300</v>
      </c>
      <c r="L53" s="158"/>
      <c r="M53" s="3"/>
      <c r="N53" s="3"/>
      <c r="O53" s="3"/>
      <c r="P53" s="3"/>
      <c r="Q53" s="3"/>
      <c r="R53" s="3"/>
      <c r="AD53" s="103"/>
      <c r="AT53" s="24"/>
    </row>
    <row r="54" spans="1:46" ht="13.9" hidden="1" customHeight="1" x14ac:dyDescent="0.2">
      <c r="A54" s="24"/>
      <c r="B54" s="165">
        <v>129</v>
      </c>
      <c r="C54" s="2">
        <v>11</v>
      </c>
      <c r="D54" s="2">
        <v>11</v>
      </c>
      <c r="E54" s="3" t="s">
        <v>301</v>
      </c>
      <c r="F54" s="3" t="s">
        <v>300</v>
      </c>
      <c r="G54" s="2">
        <v>154</v>
      </c>
      <c r="H54" s="2">
        <v>11</v>
      </c>
      <c r="I54" s="2">
        <v>11</v>
      </c>
      <c r="J54" s="3" t="s">
        <v>297</v>
      </c>
      <c r="K54" s="158" t="s">
        <v>296</v>
      </c>
      <c r="L54" s="158"/>
      <c r="M54" s="3"/>
      <c r="N54" s="3"/>
      <c r="O54" s="3"/>
      <c r="P54" s="3"/>
      <c r="Q54" s="3" t="s">
        <v>295</v>
      </c>
      <c r="R54" s="3" t="s">
        <v>294</v>
      </c>
      <c r="AD54" s="263"/>
      <c r="AT54" s="24"/>
    </row>
    <row r="55" spans="1:46" ht="13.9" hidden="1" customHeight="1" x14ac:dyDescent="0.2">
      <c r="A55" s="24"/>
      <c r="B55" s="165">
        <v>154</v>
      </c>
      <c r="C55" s="2">
        <v>11</v>
      </c>
      <c r="D55" s="2">
        <v>11</v>
      </c>
      <c r="E55" s="3" t="s">
        <v>297</v>
      </c>
      <c r="F55" s="3" t="s">
        <v>296</v>
      </c>
      <c r="G55" s="49">
        <v>175</v>
      </c>
      <c r="H55" s="49">
        <v>12</v>
      </c>
      <c r="I55" s="49">
        <v>12</v>
      </c>
      <c r="J55" s="3" t="s">
        <v>293</v>
      </c>
      <c r="K55" s="158" t="s">
        <v>292</v>
      </c>
      <c r="L55" s="158"/>
      <c r="M55" s="3"/>
      <c r="N55" s="3"/>
      <c r="O55" s="3"/>
      <c r="P55" s="3"/>
      <c r="Q55" s="3" t="s">
        <v>291</v>
      </c>
      <c r="R55" s="3" t="s">
        <v>290</v>
      </c>
      <c r="AD55" s="263"/>
      <c r="AT55" s="24"/>
    </row>
    <row r="56" spans="1:46" ht="13.9" hidden="1" customHeight="1" x14ac:dyDescent="0.2">
      <c r="A56" s="264"/>
      <c r="B56" s="160">
        <v>175</v>
      </c>
      <c r="C56" s="49">
        <v>12</v>
      </c>
      <c r="D56" s="49">
        <v>12</v>
      </c>
      <c r="E56" s="3" t="s">
        <v>293</v>
      </c>
      <c r="F56" s="3" t="s">
        <v>292</v>
      </c>
      <c r="G56" s="164">
        <v>204</v>
      </c>
      <c r="H56" s="49">
        <v>12</v>
      </c>
      <c r="I56" s="49">
        <v>12</v>
      </c>
      <c r="J56" s="3" t="s">
        <v>289</v>
      </c>
      <c r="K56" s="158" t="s">
        <v>288</v>
      </c>
      <c r="L56" s="158"/>
      <c r="M56" s="3"/>
      <c r="N56" s="3"/>
      <c r="O56" s="3"/>
      <c r="P56" s="3"/>
      <c r="Q56" s="3" t="s">
        <v>287</v>
      </c>
      <c r="R56" s="3" t="s">
        <v>286</v>
      </c>
      <c r="AD56" s="263"/>
      <c r="AT56" s="24"/>
    </row>
    <row r="57" spans="1:46" ht="13.9" hidden="1" customHeight="1" x14ac:dyDescent="0.2">
      <c r="A57" s="264"/>
      <c r="B57" s="163">
        <v>204</v>
      </c>
      <c r="C57" s="49">
        <v>12</v>
      </c>
      <c r="D57" s="49">
        <v>12</v>
      </c>
      <c r="E57" s="3" t="s">
        <v>289</v>
      </c>
      <c r="F57" s="3" t="s">
        <v>288</v>
      </c>
      <c r="G57" s="49">
        <v>241</v>
      </c>
      <c r="H57" s="49">
        <v>12</v>
      </c>
      <c r="I57" s="49">
        <v>13</v>
      </c>
      <c r="J57" s="3" t="s">
        <v>285</v>
      </c>
      <c r="K57" s="158" t="s">
        <v>284</v>
      </c>
      <c r="L57" s="158"/>
      <c r="M57" s="3"/>
      <c r="N57" s="3"/>
      <c r="O57" s="3"/>
      <c r="P57" s="3"/>
      <c r="Q57" s="3" t="s">
        <v>283</v>
      </c>
      <c r="R57" s="3" t="s">
        <v>282</v>
      </c>
      <c r="AD57" s="263"/>
      <c r="AT57" s="24"/>
    </row>
    <row r="58" spans="1:46" ht="13.9" hidden="1" customHeight="1" x14ac:dyDescent="0.2">
      <c r="A58" s="264"/>
      <c r="B58" s="160">
        <v>241</v>
      </c>
      <c r="C58" s="49">
        <v>12</v>
      </c>
      <c r="D58" s="49">
        <v>13</v>
      </c>
      <c r="E58" s="3" t="s">
        <v>285</v>
      </c>
      <c r="F58" s="3" t="s">
        <v>284</v>
      </c>
      <c r="G58" s="49">
        <v>279</v>
      </c>
      <c r="H58" s="49">
        <v>12</v>
      </c>
      <c r="I58" s="49">
        <v>13</v>
      </c>
      <c r="J58" s="3" t="s">
        <v>281</v>
      </c>
      <c r="K58" s="158" t="s">
        <v>280</v>
      </c>
      <c r="L58" s="158"/>
      <c r="M58" s="3"/>
      <c r="N58" s="3"/>
      <c r="O58" s="3"/>
      <c r="P58" s="3"/>
      <c r="Q58" s="3" t="s">
        <v>279</v>
      </c>
      <c r="R58" s="3" t="s">
        <v>278</v>
      </c>
      <c r="AD58" s="263"/>
      <c r="AT58" s="24"/>
    </row>
    <row r="59" spans="1:46" ht="13.9" hidden="1" customHeight="1" x14ac:dyDescent="0.2">
      <c r="A59" s="32"/>
      <c r="B59" s="160">
        <v>279</v>
      </c>
      <c r="C59" s="49">
        <v>12</v>
      </c>
      <c r="D59" s="49">
        <v>13</v>
      </c>
      <c r="E59" s="3" t="s">
        <v>281</v>
      </c>
      <c r="F59" s="3" t="s">
        <v>280</v>
      </c>
      <c r="G59" s="49">
        <v>320</v>
      </c>
      <c r="H59" s="49">
        <v>13</v>
      </c>
      <c r="I59" s="49">
        <v>14</v>
      </c>
      <c r="J59" s="3" t="s">
        <v>277</v>
      </c>
      <c r="K59" s="158" t="s">
        <v>276</v>
      </c>
      <c r="L59" s="158"/>
      <c r="M59" s="3"/>
      <c r="N59" s="3"/>
      <c r="O59" s="3"/>
      <c r="P59" s="3"/>
      <c r="Q59" s="3" t="s">
        <v>275</v>
      </c>
      <c r="R59" s="3" t="s">
        <v>274</v>
      </c>
      <c r="AD59" s="263"/>
      <c r="AT59" s="24"/>
    </row>
    <row r="60" spans="1:46" ht="13.9" hidden="1" customHeight="1" x14ac:dyDescent="0.2">
      <c r="A60" s="24"/>
      <c r="B60" s="160">
        <v>320</v>
      </c>
      <c r="C60" s="49">
        <v>13</v>
      </c>
      <c r="D60" s="49">
        <v>14</v>
      </c>
      <c r="E60" s="3" t="s">
        <v>277</v>
      </c>
      <c r="F60" s="3" t="s">
        <v>276</v>
      </c>
      <c r="G60" s="49">
        <v>350</v>
      </c>
      <c r="H60" s="49">
        <v>13</v>
      </c>
      <c r="I60" s="49">
        <v>14</v>
      </c>
      <c r="J60" s="3" t="s">
        <v>273</v>
      </c>
      <c r="K60" s="158" t="s">
        <v>272</v>
      </c>
      <c r="L60" s="158"/>
      <c r="M60" s="3"/>
      <c r="N60" s="3"/>
      <c r="O60" s="3"/>
      <c r="P60" s="3"/>
      <c r="Q60" s="3" t="s">
        <v>271</v>
      </c>
      <c r="R60" s="3" t="s">
        <v>270</v>
      </c>
      <c r="AD60" s="263"/>
      <c r="AT60" s="24"/>
    </row>
    <row r="61" spans="1:46" ht="13.9" hidden="1" customHeight="1" x14ac:dyDescent="0.2">
      <c r="A61" s="24"/>
      <c r="B61" s="160">
        <v>350</v>
      </c>
      <c r="C61" s="49">
        <v>13</v>
      </c>
      <c r="D61" s="49">
        <v>14</v>
      </c>
      <c r="E61" s="3" t="s">
        <v>273</v>
      </c>
      <c r="F61" s="3" t="s">
        <v>272</v>
      </c>
      <c r="G61" s="49">
        <v>400</v>
      </c>
      <c r="H61" s="49">
        <v>13</v>
      </c>
      <c r="I61" s="49">
        <v>15</v>
      </c>
      <c r="J61" s="3" t="s">
        <v>269</v>
      </c>
      <c r="K61" s="158" t="s">
        <v>268</v>
      </c>
      <c r="L61" s="158"/>
      <c r="M61" s="3"/>
      <c r="N61" s="3"/>
      <c r="O61" s="3"/>
      <c r="P61" s="3"/>
      <c r="Q61" s="3" t="s">
        <v>267</v>
      </c>
      <c r="R61" s="3" t="s">
        <v>266</v>
      </c>
      <c r="AD61" s="263"/>
      <c r="AT61" s="24"/>
    </row>
    <row r="62" spans="1:46" ht="13.9" hidden="1" customHeight="1" x14ac:dyDescent="0.2">
      <c r="A62" s="24"/>
      <c r="B62" s="160">
        <v>400</v>
      </c>
      <c r="C62" s="49">
        <v>13</v>
      </c>
      <c r="D62" s="49">
        <v>15</v>
      </c>
      <c r="E62" s="3" t="s">
        <v>269</v>
      </c>
      <c r="F62" s="3" t="s">
        <v>268</v>
      </c>
      <c r="G62" s="49">
        <v>477</v>
      </c>
      <c r="H62" s="49">
        <v>14</v>
      </c>
      <c r="I62" s="49">
        <v>17</v>
      </c>
      <c r="J62" s="3" t="s">
        <v>265</v>
      </c>
      <c r="K62" s="158" t="s">
        <v>264</v>
      </c>
      <c r="L62" s="158"/>
      <c r="M62" s="3"/>
      <c r="N62" s="3"/>
      <c r="O62" s="3"/>
      <c r="P62" s="3"/>
      <c r="Q62" s="3" t="s">
        <v>263</v>
      </c>
      <c r="R62" s="3" t="s">
        <v>262</v>
      </c>
      <c r="AD62" s="263"/>
      <c r="AT62" s="24"/>
    </row>
    <row r="63" spans="1:46" ht="13.9" hidden="1" customHeight="1" x14ac:dyDescent="0.2">
      <c r="A63" s="24"/>
      <c r="B63" s="160">
        <v>477</v>
      </c>
      <c r="C63" s="49">
        <v>14</v>
      </c>
      <c r="D63" s="49">
        <v>17</v>
      </c>
      <c r="E63" s="3" t="s">
        <v>265</v>
      </c>
      <c r="F63" s="3" t="s">
        <v>264</v>
      </c>
      <c r="G63" s="49">
        <v>545</v>
      </c>
      <c r="H63" s="49">
        <v>14</v>
      </c>
      <c r="I63" s="49">
        <v>17</v>
      </c>
      <c r="J63" s="3" t="s">
        <v>261</v>
      </c>
      <c r="K63" s="158" t="s">
        <v>260</v>
      </c>
      <c r="L63" s="158"/>
      <c r="M63" s="3"/>
      <c r="N63" s="3"/>
      <c r="O63" s="3"/>
      <c r="P63" s="3"/>
      <c r="Q63" s="3" t="s">
        <v>259</v>
      </c>
      <c r="R63" s="3" t="s">
        <v>258</v>
      </c>
      <c r="AD63" s="263"/>
      <c r="AT63" s="24"/>
    </row>
    <row r="64" spans="1:46" ht="13.9" hidden="1" customHeight="1" x14ac:dyDescent="0.2">
      <c r="A64" s="24"/>
      <c r="B64" s="160">
        <v>545</v>
      </c>
      <c r="C64" s="49">
        <v>14</v>
      </c>
      <c r="D64" s="49">
        <v>17</v>
      </c>
      <c r="E64" s="3" t="s">
        <v>261</v>
      </c>
      <c r="F64" s="3" t="s">
        <v>260</v>
      </c>
      <c r="G64" s="49">
        <v>615</v>
      </c>
      <c r="H64" s="49">
        <v>14</v>
      </c>
      <c r="I64" s="49">
        <v>18</v>
      </c>
      <c r="J64" s="3" t="s">
        <v>257</v>
      </c>
      <c r="K64" s="158" t="s">
        <v>256</v>
      </c>
      <c r="L64" s="158"/>
      <c r="M64" s="3"/>
      <c r="N64" s="3"/>
      <c r="O64" s="3"/>
      <c r="P64" s="3"/>
      <c r="Q64" s="3" t="s">
        <v>255</v>
      </c>
      <c r="R64" s="3" t="s">
        <v>254</v>
      </c>
      <c r="AD64" s="263"/>
      <c r="AT64" s="24"/>
    </row>
    <row r="65" spans="1:46" ht="13.9" hidden="1" customHeight="1" x14ac:dyDescent="0.2">
      <c r="A65" s="24"/>
      <c r="B65" s="160">
        <v>615</v>
      </c>
      <c r="C65" s="49">
        <v>14</v>
      </c>
      <c r="D65" s="49">
        <v>18</v>
      </c>
      <c r="E65" s="3" t="s">
        <v>257</v>
      </c>
      <c r="F65" s="3" t="s">
        <v>256</v>
      </c>
      <c r="G65" s="49">
        <v>670</v>
      </c>
      <c r="H65" s="49">
        <v>14</v>
      </c>
      <c r="I65" s="49">
        <v>19</v>
      </c>
      <c r="J65" s="3" t="s">
        <v>253</v>
      </c>
      <c r="K65" s="158" t="s">
        <v>252</v>
      </c>
      <c r="L65" s="158"/>
      <c r="M65" s="3"/>
      <c r="N65" s="3"/>
      <c r="O65" s="3"/>
      <c r="P65" s="3"/>
      <c r="Q65" s="3" t="s">
        <v>251</v>
      </c>
      <c r="R65" s="3" t="s">
        <v>250</v>
      </c>
      <c r="AD65" s="263"/>
      <c r="AT65" s="24"/>
    </row>
    <row r="66" spans="1:46" ht="13.9" hidden="1" customHeight="1" x14ac:dyDescent="0.2">
      <c r="A66" s="24"/>
      <c r="B66" s="160">
        <v>670</v>
      </c>
      <c r="C66" s="49">
        <v>14</v>
      </c>
      <c r="D66" s="49">
        <v>19</v>
      </c>
      <c r="E66" s="3" t="s">
        <v>253</v>
      </c>
      <c r="F66" s="3" t="s">
        <v>252</v>
      </c>
      <c r="G66" s="49">
        <v>736</v>
      </c>
      <c r="H66" s="49">
        <v>14</v>
      </c>
      <c r="I66" s="49">
        <v>20</v>
      </c>
      <c r="J66" s="3" t="s">
        <v>249</v>
      </c>
      <c r="K66" s="158" t="s">
        <v>248</v>
      </c>
      <c r="L66" s="158"/>
      <c r="M66" s="3"/>
      <c r="N66" s="3"/>
      <c r="O66" s="3"/>
      <c r="P66" s="3"/>
      <c r="Q66" s="3" t="s">
        <v>247</v>
      </c>
      <c r="R66" s="3" t="s">
        <v>246</v>
      </c>
      <c r="AD66" s="263"/>
      <c r="AT66" s="24"/>
    </row>
    <row r="67" spans="1:46" ht="13.9" hidden="1" customHeight="1" x14ac:dyDescent="0.2">
      <c r="A67" s="24"/>
      <c r="B67" s="160">
        <v>736</v>
      </c>
      <c r="C67" s="49">
        <v>14</v>
      </c>
      <c r="D67" s="49">
        <v>20</v>
      </c>
      <c r="E67" s="3" t="s">
        <v>249</v>
      </c>
      <c r="F67" s="3" t="s">
        <v>248</v>
      </c>
      <c r="G67" s="49">
        <v>799</v>
      </c>
      <c r="H67" s="49">
        <v>16</v>
      </c>
      <c r="I67" s="49">
        <v>23</v>
      </c>
      <c r="J67" s="3" t="s">
        <v>245</v>
      </c>
      <c r="K67" s="158" t="s">
        <v>244</v>
      </c>
      <c r="L67" s="158"/>
      <c r="M67" s="3"/>
      <c r="N67" s="3"/>
      <c r="O67" s="3"/>
      <c r="P67" s="3"/>
      <c r="Q67" s="3" t="s">
        <v>243</v>
      </c>
      <c r="R67" s="3" t="s">
        <v>242</v>
      </c>
      <c r="AD67" s="263"/>
      <c r="AT67" s="24"/>
    </row>
    <row r="68" spans="1:46" ht="13.9" hidden="1" customHeight="1" x14ac:dyDescent="0.2">
      <c r="A68" s="24"/>
      <c r="B68" s="160">
        <v>799</v>
      </c>
      <c r="C68" s="49">
        <v>16</v>
      </c>
      <c r="D68" s="49">
        <v>23</v>
      </c>
      <c r="E68" s="3" t="s">
        <v>245</v>
      </c>
      <c r="F68" s="3" t="s">
        <v>244</v>
      </c>
      <c r="G68" s="49">
        <v>870</v>
      </c>
      <c r="H68" s="49">
        <v>19</v>
      </c>
      <c r="I68" s="49">
        <v>27</v>
      </c>
      <c r="J68" s="3" t="s">
        <v>241</v>
      </c>
      <c r="K68" s="158" t="s">
        <v>240</v>
      </c>
      <c r="L68" s="158"/>
      <c r="M68" s="3"/>
      <c r="N68" s="3"/>
      <c r="O68" s="3"/>
      <c r="P68" s="3"/>
      <c r="Q68" s="3" t="s">
        <v>239</v>
      </c>
      <c r="R68" s="3" t="s">
        <v>238</v>
      </c>
      <c r="AD68" s="263"/>
      <c r="AT68" s="24"/>
    </row>
    <row r="69" spans="1:46" ht="13.9" hidden="1" customHeight="1" x14ac:dyDescent="0.2">
      <c r="A69" s="24"/>
      <c r="B69" s="160">
        <v>870</v>
      </c>
      <c r="C69" s="49">
        <v>19</v>
      </c>
      <c r="D69" s="49">
        <v>27</v>
      </c>
      <c r="E69" s="3" t="s">
        <v>241</v>
      </c>
      <c r="F69" s="3" t="s">
        <v>240</v>
      </c>
      <c r="G69" s="49">
        <v>936</v>
      </c>
      <c r="H69" s="49">
        <v>21</v>
      </c>
      <c r="I69" s="49">
        <v>31</v>
      </c>
      <c r="J69" s="3" t="s">
        <v>237</v>
      </c>
      <c r="K69" s="158" t="s">
        <v>236</v>
      </c>
      <c r="L69" s="158"/>
      <c r="M69" s="3"/>
      <c r="N69" s="3"/>
      <c r="O69" s="3"/>
      <c r="P69" s="3"/>
      <c r="Q69" s="3" t="s">
        <v>235</v>
      </c>
      <c r="R69" s="3" t="s">
        <v>234</v>
      </c>
      <c r="AD69" s="263"/>
      <c r="AT69" s="24"/>
    </row>
    <row r="70" spans="1:46" ht="13.9" hidden="1" customHeight="1" x14ac:dyDescent="0.2">
      <c r="A70" s="24"/>
      <c r="B70" s="160">
        <v>936</v>
      </c>
      <c r="C70" s="49">
        <v>21</v>
      </c>
      <c r="D70" s="49">
        <v>31</v>
      </c>
      <c r="E70" s="3" t="s">
        <v>237</v>
      </c>
      <c r="F70" s="3" t="s">
        <v>236</v>
      </c>
      <c r="G70" s="49">
        <v>1020</v>
      </c>
      <c r="H70" s="49">
        <v>22</v>
      </c>
      <c r="I70" s="49">
        <v>34</v>
      </c>
      <c r="J70" s="3" t="s">
        <v>233</v>
      </c>
      <c r="K70" s="158" t="s">
        <v>232</v>
      </c>
      <c r="L70" s="158"/>
      <c r="M70" s="3"/>
      <c r="N70" s="3"/>
      <c r="O70" s="3"/>
      <c r="P70" s="3"/>
      <c r="Q70" s="3" t="s">
        <v>231</v>
      </c>
      <c r="R70" s="3" t="s">
        <v>230</v>
      </c>
      <c r="AD70" s="263"/>
      <c r="AT70" s="24"/>
    </row>
    <row r="71" spans="1:46" ht="13.9" hidden="1" customHeight="1" x14ac:dyDescent="0.2">
      <c r="A71" s="24"/>
      <c r="B71" s="160">
        <v>1020</v>
      </c>
      <c r="C71" s="49">
        <v>22</v>
      </c>
      <c r="D71" s="49">
        <v>34</v>
      </c>
      <c r="E71" s="3" t="s">
        <v>233</v>
      </c>
      <c r="F71" s="3" t="s">
        <v>232</v>
      </c>
      <c r="G71" s="49">
        <v>1081</v>
      </c>
      <c r="H71" s="49">
        <v>22</v>
      </c>
      <c r="I71" s="49">
        <v>35</v>
      </c>
      <c r="J71" s="3" t="s">
        <v>229</v>
      </c>
      <c r="K71" s="158" t="s">
        <v>228</v>
      </c>
      <c r="L71" s="158"/>
      <c r="M71" s="3"/>
      <c r="N71" s="3"/>
      <c r="O71" s="3"/>
      <c r="P71" s="3"/>
      <c r="Q71" s="3" t="s">
        <v>227</v>
      </c>
      <c r="R71" s="3" t="s">
        <v>226</v>
      </c>
      <c r="AD71" s="263"/>
      <c r="AT71" s="24"/>
    </row>
    <row r="72" spans="1:46" ht="13.9" hidden="1" customHeight="1" x14ac:dyDescent="0.2">
      <c r="A72" s="24"/>
      <c r="B72" s="160">
        <v>1081</v>
      </c>
      <c r="C72" s="49">
        <v>22</v>
      </c>
      <c r="D72" s="49">
        <v>35</v>
      </c>
      <c r="E72" s="3" t="s">
        <v>229</v>
      </c>
      <c r="F72" s="3" t="s">
        <v>228</v>
      </c>
      <c r="G72" s="49">
        <v>1195</v>
      </c>
      <c r="H72" s="49">
        <v>22</v>
      </c>
      <c r="I72" s="49">
        <v>38</v>
      </c>
      <c r="J72" s="3" t="s">
        <v>225</v>
      </c>
      <c r="K72" s="158" t="s">
        <v>224</v>
      </c>
      <c r="L72" s="158"/>
      <c r="M72" s="3"/>
      <c r="N72" s="3"/>
      <c r="O72" s="3"/>
      <c r="P72" s="3"/>
      <c r="Q72" s="3" t="s">
        <v>223</v>
      </c>
      <c r="R72" s="3" t="s">
        <v>222</v>
      </c>
      <c r="AD72" s="263"/>
      <c r="AT72" s="24"/>
    </row>
    <row r="73" spans="1:46" ht="13.9" hidden="1" customHeight="1" x14ac:dyDescent="0.2">
      <c r="A73" s="24"/>
      <c r="B73" s="160">
        <v>1195</v>
      </c>
      <c r="C73" s="49">
        <v>22</v>
      </c>
      <c r="D73" s="49">
        <v>38</v>
      </c>
      <c r="E73" s="3" t="s">
        <v>225</v>
      </c>
      <c r="F73" s="3" t="s">
        <v>224</v>
      </c>
      <c r="G73" s="49">
        <v>1335</v>
      </c>
      <c r="H73" s="49">
        <v>23</v>
      </c>
      <c r="I73" s="49">
        <v>43</v>
      </c>
      <c r="J73" s="3" t="s">
        <v>221</v>
      </c>
      <c r="K73" s="158" t="s">
        <v>220</v>
      </c>
      <c r="L73" s="158"/>
      <c r="M73" s="3"/>
      <c r="N73" s="3"/>
      <c r="O73" s="3"/>
      <c r="P73" s="3"/>
      <c r="Q73" s="3" t="s">
        <v>219</v>
      </c>
      <c r="R73" s="3" t="s">
        <v>218</v>
      </c>
      <c r="AD73" s="263"/>
      <c r="AT73" s="24"/>
    </row>
    <row r="74" spans="1:46" ht="13.9" hidden="1" customHeight="1" x14ac:dyDescent="0.2">
      <c r="A74" s="24"/>
      <c r="B74" s="160">
        <v>1335</v>
      </c>
      <c r="C74" s="49">
        <v>23</v>
      </c>
      <c r="D74" s="49">
        <v>43</v>
      </c>
      <c r="E74" s="3" t="s">
        <v>221</v>
      </c>
      <c r="F74" s="3" t="s">
        <v>220</v>
      </c>
      <c r="G74" s="49">
        <v>1483</v>
      </c>
      <c r="H74" s="49">
        <v>23</v>
      </c>
      <c r="I74" s="49">
        <v>47</v>
      </c>
      <c r="J74" s="3" t="s">
        <v>217</v>
      </c>
      <c r="K74" s="158" t="s">
        <v>216</v>
      </c>
      <c r="L74" s="158"/>
      <c r="M74" s="3"/>
      <c r="N74" s="3"/>
      <c r="O74" s="3"/>
      <c r="P74" s="3"/>
      <c r="Q74" s="3" t="s">
        <v>215</v>
      </c>
      <c r="R74" s="3" t="s">
        <v>214</v>
      </c>
      <c r="AD74" s="263"/>
      <c r="AT74" s="24"/>
    </row>
    <row r="75" spans="1:46" ht="13.9" hidden="1" customHeight="1" x14ac:dyDescent="0.2">
      <c r="A75" s="24"/>
      <c r="B75" s="160">
        <v>1483</v>
      </c>
      <c r="C75" s="49">
        <v>23</v>
      </c>
      <c r="D75" s="49">
        <v>47</v>
      </c>
      <c r="E75" s="3" t="s">
        <v>217</v>
      </c>
      <c r="F75" s="3" t="s">
        <v>216</v>
      </c>
      <c r="G75" s="49">
        <v>1581</v>
      </c>
      <c r="H75" s="49">
        <v>23</v>
      </c>
      <c r="I75" s="49">
        <v>51</v>
      </c>
      <c r="J75" s="3" t="s">
        <v>213</v>
      </c>
      <c r="K75" s="158" t="s">
        <v>212</v>
      </c>
      <c r="L75" s="158"/>
      <c r="M75" s="3"/>
      <c r="N75" s="3"/>
      <c r="O75" s="3"/>
      <c r="P75" s="3"/>
      <c r="Q75" s="3" t="s">
        <v>211</v>
      </c>
      <c r="R75" s="3" t="s">
        <v>210</v>
      </c>
      <c r="AD75" s="263"/>
      <c r="AT75" s="24"/>
    </row>
    <row r="76" spans="1:46" ht="13.9" hidden="1" customHeight="1" x14ac:dyDescent="0.2">
      <c r="A76" s="24"/>
      <c r="B76" s="160">
        <v>1581</v>
      </c>
      <c r="C76" s="49">
        <v>23</v>
      </c>
      <c r="D76" s="49">
        <v>51</v>
      </c>
      <c r="E76" s="3" t="s">
        <v>213</v>
      </c>
      <c r="F76" s="3" t="s">
        <v>212</v>
      </c>
      <c r="G76" s="49">
        <v>1774</v>
      </c>
      <c r="H76" s="49">
        <v>24</v>
      </c>
      <c r="I76" s="49">
        <v>59</v>
      </c>
      <c r="J76" s="3" t="s">
        <v>209</v>
      </c>
      <c r="K76" s="158" t="s">
        <v>208</v>
      </c>
      <c r="L76" s="158"/>
      <c r="M76" s="3"/>
      <c r="N76" s="3"/>
      <c r="O76" s="3"/>
      <c r="P76" s="3"/>
      <c r="Q76" s="3" t="s">
        <v>207</v>
      </c>
      <c r="R76" s="3" t="s">
        <v>206</v>
      </c>
      <c r="AD76" s="263"/>
      <c r="AT76" s="24"/>
    </row>
    <row r="77" spans="1:46" ht="13.9" hidden="1" customHeight="1" x14ac:dyDescent="0.2">
      <c r="A77" s="24"/>
      <c r="B77" s="160">
        <v>1774</v>
      </c>
      <c r="C77" s="49">
        <v>24</v>
      </c>
      <c r="D77" s="49">
        <v>59</v>
      </c>
      <c r="E77" s="3" t="s">
        <v>209</v>
      </c>
      <c r="F77" s="3" t="s">
        <v>208</v>
      </c>
      <c r="G77" s="49">
        <v>1883</v>
      </c>
      <c r="H77" s="49">
        <v>24</v>
      </c>
      <c r="I77" s="49">
        <v>61</v>
      </c>
      <c r="J77" s="3" t="s">
        <v>205</v>
      </c>
      <c r="K77" s="158" t="s">
        <v>204</v>
      </c>
      <c r="L77" s="158"/>
      <c r="M77" s="3"/>
      <c r="N77" s="3"/>
      <c r="O77" s="3"/>
      <c r="P77" s="3"/>
      <c r="Q77" s="3" t="s">
        <v>203</v>
      </c>
      <c r="R77" s="3" t="s">
        <v>202</v>
      </c>
      <c r="AD77" s="263"/>
      <c r="AT77" s="24"/>
    </row>
    <row r="78" spans="1:46" ht="13.9" hidden="1" customHeight="1" x14ac:dyDescent="0.2">
      <c r="A78" s="24"/>
      <c r="B78" s="160">
        <v>1883</v>
      </c>
      <c r="C78" s="49">
        <v>24</v>
      </c>
      <c r="D78" s="49">
        <v>61</v>
      </c>
      <c r="E78" s="3" t="s">
        <v>205</v>
      </c>
      <c r="F78" s="3" t="s">
        <v>204</v>
      </c>
      <c r="G78" s="49">
        <v>2080</v>
      </c>
      <c r="H78" s="49">
        <v>25</v>
      </c>
      <c r="I78" s="49">
        <v>73</v>
      </c>
      <c r="J78" s="3" t="s">
        <v>201</v>
      </c>
      <c r="K78" s="158" t="s">
        <v>200</v>
      </c>
      <c r="L78" s="158"/>
      <c r="M78" s="3"/>
      <c r="N78" s="3"/>
      <c r="O78" s="3"/>
      <c r="P78" s="3"/>
      <c r="Q78" s="3" t="s">
        <v>199</v>
      </c>
      <c r="R78" s="3" t="s">
        <v>198</v>
      </c>
      <c r="AD78" s="263"/>
      <c r="AT78" s="24"/>
    </row>
    <row r="79" spans="1:46" ht="13.9" hidden="1" customHeight="1" x14ac:dyDescent="0.2">
      <c r="A79" s="24"/>
      <c r="B79" s="160">
        <v>2080</v>
      </c>
      <c r="C79" s="49">
        <v>25</v>
      </c>
      <c r="D79" s="49">
        <v>73</v>
      </c>
      <c r="E79" s="3" t="s">
        <v>201</v>
      </c>
      <c r="F79" s="3" t="s">
        <v>200</v>
      </c>
      <c r="G79" s="49">
        <v>2251</v>
      </c>
      <c r="H79" s="49">
        <v>26</v>
      </c>
      <c r="I79" s="49">
        <v>82</v>
      </c>
      <c r="J79" s="3" t="s">
        <v>197</v>
      </c>
      <c r="K79" s="158" t="s">
        <v>196</v>
      </c>
      <c r="L79" s="158"/>
      <c r="M79" s="3"/>
      <c r="N79" s="3"/>
      <c r="O79" s="3"/>
      <c r="P79" s="3"/>
      <c r="Q79" s="3" t="s">
        <v>195</v>
      </c>
      <c r="R79" s="3" t="s">
        <v>194</v>
      </c>
      <c r="AD79" s="263"/>
      <c r="AT79" s="24"/>
    </row>
    <row r="80" spans="1:46" ht="13.9" hidden="1" customHeight="1" x14ac:dyDescent="0.2">
      <c r="A80" s="24"/>
      <c r="B80" s="160">
        <v>2251</v>
      </c>
      <c r="C80" s="49">
        <v>26</v>
      </c>
      <c r="D80" s="49">
        <v>82</v>
      </c>
      <c r="E80" s="3" t="s">
        <v>197</v>
      </c>
      <c r="F80" s="3" t="s">
        <v>196</v>
      </c>
      <c r="G80" s="49">
        <v>2319</v>
      </c>
      <c r="H80" s="49">
        <v>27</v>
      </c>
      <c r="I80" s="49">
        <v>87</v>
      </c>
      <c r="J80" s="3" t="s">
        <v>193</v>
      </c>
      <c r="K80" s="158" t="s">
        <v>192</v>
      </c>
      <c r="L80" s="158"/>
      <c r="M80" s="3"/>
      <c r="N80" s="3"/>
      <c r="O80" s="3"/>
      <c r="P80" s="3"/>
      <c r="Q80" s="3" t="s">
        <v>191</v>
      </c>
      <c r="R80" s="3" t="s">
        <v>190</v>
      </c>
      <c r="AD80" s="263"/>
      <c r="AT80" s="24"/>
    </row>
    <row r="81" spans="1:46" ht="13.9" hidden="1" customHeight="1" thickBot="1" x14ac:dyDescent="0.25">
      <c r="A81" s="24"/>
      <c r="B81" s="160">
        <v>2319</v>
      </c>
      <c r="C81" s="49">
        <v>27</v>
      </c>
      <c r="D81" s="49">
        <v>87</v>
      </c>
      <c r="E81" s="3" t="s">
        <v>193</v>
      </c>
      <c r="F81" s="3" t="s">
        <v>192</v>
      </c>
      <c r="G81" s="49">
        <v>2448</v>
      </c>
      <c r="H81" s="49">
        <v>28</v>
      </c>
      <c r="I81" s="262">
        <v>95</v>
      </c>
      <c r="J81" s="3" t="s">
        <v>189</v>
      </c>
      <c r="K81" s="158" t="s">
        <v>188</v>
      </c>
      <c r="L81" s="158"/>
      <c r="M81" s="3"/>
      <c r="N81" s="3"/>
      <c r="O81" s="3"/>
      <c r="P81" s="3"/>
      <c r="Q81" s="3" t="s">
        <v>187</v>
      </c>
      <c r="R81" s="3" t="s">
        <v>186</v>
      </c>
      <c r="AT81" s="24"/>
    </row>
    <row r="82" spans="1:46" ht="13.9" hidden="1" customHeight="1" thickTop="1" thickBot="1" x14ac:dyDescent="0.25">
      <c r="A82" s="24"/>
      <c r="B82" s="159">
        <v>2448</v>
      </c>
      <c r="C82" s="68">
        <v>28</v>
      </c>
      <c r="D82" s="262">
        <v>95</v>
      </c>
      <c r="E82" s="155" t="s">
        <v>189</v>
      </c>
      <c r="F82" s="155" t="s">
        <v>188</v>
      </c>
      <c r="G82" s="49">
        <v>2448</v>
      </c>
      <c r="H82" s="49">
        <v>28</v>
      </c>
      <c r="I82" s="262">
        <v>95</v>
      </c>
      <c r="J82" s="3" t="s">
        <v>189</v>
      </c>
      <c r="K82" s="158" t="s">
        <v>188</v>
      </c>
      <c r="L82" s="158"/>
      <c r="M82" s="3"/>
      <c r="N82" s="3"/>
      <c r="O82" s="3"/>
      <c r="P82" s="3"/>
      <c r="Q82" s="3" t="s">
        <v>185</v>
      </c>
      <c r="R82" s="3" t="s">
        <v>184</v>
      </c>
      <c r="AT82" s="24"/>
    </row>
    <row r="83" spans="1:46" ht="13.9" hidden="1" customHeight="1" x14ac:dyDescent="0.2">
      <c r="A83" s="24"/>
      <c r="J83" s="157"/>
      <c r="K83" s="3"/>
      <c r="L83" s="3"/>
      <c r="M83" s="3"/>
      <c r="N83" s="3"/>
      <c r="O83" s="3"/>
      <c r="P83" s="3"/>
      <c r="Q83" s="3" t="s">
        <v>183</v>
      </c>
      <c r="R83" s="3" t="s">
        <v>182</v>
      </c>
      <c r="AT83" s="24"/>
    </row>
    <row r="84" spans="1:46" ht="13.9" hidden="1" customHeight="1" x14ac:dyDescent="0.2">
      <c r="A84" s="24"/>
      <c r="J84" s="157"/>
      <c r="K84" s="3"/>
      <c r="L84" s="3"/>
      <c r="M84" s="3"/>
      <c r="N84" s="3"/>
      <c r="O84" s="3"/>
      <c r="P84" s="3"/>
      <c r="Q84" s="3" t="s">
        <v>181</v>
      </c>
      <c r="R84" s="3" t="s">
        <v>180</v>
      </c>
      <c r="AT84" s="24"/>
    </row>
    <row r="85" spans="1:46" ht="13.9" hidden="1" customHeight="1" x14ac:dyDescent="0.2">
      <c r="A85" s="24"/>
      <c r="J85" s="157"/>
      <c r="K85" s="3"/>
      <c r="L85" s="3"/>
      <c r="M85" s="3"/>
      <c r="N85" s="3"/>
      <c r="O85" s="3"/>
      <c r="P85" s="3"/>
      <c r="Q85" s="3" t="s">
        <v>179</v>
      </c>
      <c r="R85" s="3" t="s">
        <v>178</v>
      </c>
      <c r="AT85" s="24"/>
    </row>
    <row r="86" spans="1:46" ht="13.9" hidden="1" customHeight="1" x14ac:dyDescent="0.2">
      <c r="A86" s="24"/>
      <c r="J86" s="157"/>
      <c r="K86" s="3"/>
      <c r="L86" s="3"/>
      <c r="M86" s="3"/>
      <c r="N86" s="3"/>
      <c r="O86" s="3"/>
      <c r="P86" s="3"/>
      <c r="Q86" s="3" t="s">
        <v>177</v>
      </c>
      <c r="R86" s="3" t="s">
        <v>176</v>
      </c>
      <c r="AT86" s="24"/>
    </row>
    <row r="87" spans="1:46" ht="13.9" hidden="1" customHeight="1" thickBot="1" x14ac:dyDescent="0.25">
      <c r="A87" s="24"/>
      <c r="J87" s="157"/>
      <c r="K87" s="3"/>
      <c r="L87" s="3"/>
      <c r="M87" s="3"/>
      <c r="N87" s="3"/>
      <c r="O87" s="3"/>
      <c r="P87" s="3"/>
      <c r="Q87" s="155" t="s">
        <v>175</v>
      </c>
      <c r="R87" s="155" t="s">
        <v>174</v>
      </c>
      <c r="AT87" s="24"/>
    </row>
    <row r="88" spans="1:46" ht="13.9" hidden="1" customHeight="1" thickBot="1" x14ac:dyDescent="0.25">
      <c r="A88" s="24"/>
      <c r="J88" s="156"/>
      <c r="K88" s="155"/>
      <c r="L88" s="155"/>
      <c r="M88" s="155"/>
      <c r="N88" s="155"/>
      <c r="O88" s="3"/>
      <c r="P88" s="3"/>
      <c r="Q88" s="155" t="s">
        <v>175</v>
      </c>
      <c r="R88" s="155" t="s">
        <v>174</v>
      </c>
      <c r="AT88" s="24"/>
    </row>
    <row r="89" spans="1:46" ht="13.9" hidden="1" customHeight="1" thickBot="1" x14ac:dyDescent="0.25">
      <c r="A89" s="24"/>
      <c r="B89" s="32"/>
      <c r="D89" s="19"/>
      <c r="E89" s="19"/>
      <c r="F89" s="154"/>
      <c r="G89" s="25"/>
      <c r="H89" s="19"/>
      <c r="AT89" s="24"/>
    </row>
    <row r="90" spans="1:46" ht="13.9" hidden="1" customHeight="1" x14ac:dyDescent="0.2">
      <c r="A90" s="24"/>
      <c r="B90" s="32"/>
      <c r="C90" s="998"/>
      <c r="D90" s="999"/>
      <c r="E90" s="999"/>
      <c r="F90" s="1011"/>
      <c r="G90" s="25"/>
      <c r="H90" s="998"/>
      <c r="I90" s="999"/>
      <c r="J90" s="999"/>
      <c r="K90" s="1011"/>
      <c r="L90" s="19"/>
      <c r="AT90" s="24"/>
    </row>
    <row r="91" spans="1:46" ht="13.9" hidden="1" customHeight="1" x14ac:dyDescent="0.2">
      <c r="A91" s="24"/>
      <c r="B91" s="24"/>
      <c r="C91" s="151"/>
      <c r="D91" s="150"/>
      <c r="E91" s="1006"/>
      <c r="F91" s="1007"/>
      <c r="H91" s="151"/>
      <c r="I91" s="150"/>
      <c r="J91" s="1006"/>
      <c r="K91" s="1007"/>
      <c r="L91" s="261"/>
      <c r="AT91" s="24"/>
    </row>
    <row r="92" spans="1:46" ht="13.9" hidden="1" customHeight="1" x14ac:dyDescent="0.2">
      <c r="A92" s="24"/>
      <c r="B92" s="24"/>
      <c r="C92" s="148"/>
      <c r="D92" s="78"/>
      <c r="E92" s="114"/>
      <c r="F92" s="147"/>
      <c r="H92" s="148"/>
      <c r="I92" s="78"/>
      <c r="J92" s="114"/>
      <c r="K92" s="147"/>
      <c r="L92" s="260"/>
      <c r="AT92" s="24"/>
    </row>
    <row r="93" spans="1:46" ht="13.9" hidden="1" customHeight="1" x14ac:dyDescent="0.2">
      <c r="A93" s="258"/>
      <c r="B93" s="32"/>
      <c r="C93" s="146"/>
      <c r="D93" s="145"/>
      <c r="E93" s="144"/>
      <c r="F93" s="143"/>
      <c r="G93" s="136"/>
      <c r="H93" s="146"/>
      <c r="I93" s="145"/>
      <c r="J93" s="144"/>
      <c r="K93" s="143"/>
      <c r="L93" s="259"/>
      <c r="AT93" s="24"/>
    </row>
    <row r="94" spans="1:46" ht="13.9" hidden="1" customHeight="1" thickBot="1" x14ac:dyDescent="0.25">
      <c r="A94" s="258"/>
      <c r="B94" s="32"/>
      <c r="C94" s="142"/>
      <c r="D94" s="140"/>
      <c r="E94" s="139"/>
      <c r="F94" s="138"/>
      <c r="G94" s="136"/>
      <c r="H94" s="141"/>
      <c r="I94" s="140"/>
      <c r="J94" s="139"/>
      <c r="K94" s="138"/>
      <c r="L94" s="259"/>
      <c r="AT94" s="24"/>
    </row>
    <row r="95" spans="1:46" ht="13.9" hidden="1" customHeight="1" x14ac:dyDescent="0.2">
      <c r="A95" s="258"/>
      <c r="B95" s="25"/>
      <c r="C95" s="135"/>
      <c r="D95" s="135"/>
      <c r="E95" s="135"/>
      <c r="F95" s="137"/>
      <c r="G95" s="136"/>
      <c r="H95" s="135"/>
      <c r="AT95" s="24"/>
    </row>
    <row r="96" spans="1:46" ht="13.9" hidden="1" customHeight="1" x14ac:dyDescent="0.2">
      <c r="A96" s="258"/>
      <c r="B96" s="132"/>
      <c r="C96" s="132"/>
      <c r="F96" s="132"/>
      <c r="G96" s="132"/>
      <c r="H96" s="132"/>
      <c r="AT96" s="24"/>
    </row>
    <row r="97" spans="1:46" ht="13.9" hidden="1" customHeight="1" x14ac:dyDescent="0.2">
      <c r="A97" s="258"/>
      <c r="B97" s="132"/>
      <c r="C97" s="132"/>
      <c r="D97" s="132"/>
      <c r="E97" s="132"/>
      <c r="F97" s="132"/>
      <c r="G97" s="132"/>
      <c r="H97" s="132"/>
      <c r="I97" s="132"/>
      <c r="J97" s="132"/>
      <c r="AT97" s="24"/>
    </row>
    <row r="98" spans="1:46" hidden="1" x14ac:dyDescent="0.2">
      <c r="A98" s="258"/>
      <c r="B98" s="132"/>
      <c r="C98" s="132"/>
      <c r="D98" s="132"/>
      <c r="E98" s="132"/>
      <c r="F98" s="132"/>
      <c r="G98" s="132"/>
      <c r="H98" s="132"/>
      <c r="I98" s="132"/>
      <c r="J98" s="132"/>
      <c r="AT98" s="24"/>
    </row>
    <row r="99" spans="1:46" hidden="1" x14ac:dyDescent="0.2">
      <c r="A99" s="258"/>
      <c r="B99" s="132"/>
      <c r="C99" s="132"/>
      <c r="D99" s="132"/>
      <c r="E99" s="132"/>
      <c r="F99" s="132"/>
      <c r="G99" s="132"/>
      <c r="H99" s="132"/>
      <c r="I99" s="132"/>
      <c r="J99" s="132"/>
      <c r="AT99" s="24"/>
    </row>
    <row r="100" spans="1:46" ht="13.5" hidden="1" thickBot="1" x14ac:dyDescent="0.25">
      <c r="A100" s="24"/>
      <c r="F100" s="132"/>
      <c r="G100" s="132"/>
      <c r="H100" s="132"/>
      <c r="I100" s="132"/>
      <c r="J100" s="132"/>
      <c r="Q100" s="131"/>
      <c r="R100" s="131"/>
      <c r="S100" s="131"/>
      <c r="T100" s="131"/>
      <c r="U100" s="131"/>
      <c r="AT100" s="24"/>
    </row>
    <row r="101" spans="1:46" hidden="1" x14ac:dyDescent="0.2">
      <c r="A101" s="24"/>
      <c r="AT101" s="24"/>
    </row>
    <row r="102" spans="1:46" hidden="1" x14ac:dyDescent="0.2">
      <c r="A102" s="24"/>
      <c r="B102" s="129"/>
      <c r="J102" s="128"/>
      <c r="AT102" s="24"/>
    </row>
    <row r="103" spans="1:46" hidden="1" x14ac:dyDescent="0.2">
      <c r="A103" s="24"/>
      <c r="AT103" s="24"/>
    </row>
    <row r="104" spans="1:46" hidden="1" x14ac:dyDescent="0.2">
      <c r="A104" s="24"/>
      <c r="B104" s="129"/>
      <c r="AT104" s="24"/>
    </row>
    <row r="105" spans="1:46" hidden="1" x14ac:dyDescent="0.2">
      <c r="A105" s="24"/>
      <c r="N105" s="128"/>
      <c r="AT105" s="24"/>
    </row>
    <row r="106" spans="1:46" hidden="1" x14ac:dyDescent="0.2">
      <c r="A106" s="24"/>
      <c r="AT106" s="24"/>
    </row>
    <row r="107" spans="1:46" hidden="1" x14ac:dyDescent="0.2">
      <c r="A107" s="24"/>
      <c r="B107" s="128"/>
      <c r="AT107" s="24"/>
    </row>
    <row r="108" spans="1:46" hidden="1" x14ac:dyDescent="0.2">
      <c r="A108" s="24"/>
      <c r="AT108" s="24"/>
    </row>
    <row r="109" spans="1:46" hidden="1" x14ac:dyDescent="0.2">
      <c r="A109" s="24"/>
      <c r="AT109" s="24"/>
    </row>
    <row r="110" spans="1:46" hidden="1" x14ac:dyDescent="0.2">
      <c r="A110" s="24"/>
      <c r="AT110" s="24"/>
    </row>
    <row r="111" spans="1:46" hidden="1" x14ac:dyDescent="0.2">
      <c r="A111" s="24"/>
      <c r="B111" s="128"/>
      <c r="AT111" s="24"/>
    </row>
    <row r="112" spans="1:46" hidden="1" x14ac:dyDescent="0.2">
      <c r="A112" s="24"/>
      <c r="AT112" s="24"/>
    </row>
    <row r="113" spans="1:46" hidden="1" x14ac:dyDescent="0.2">
      <c r="A113" s="24"/>
      <c r="B113" s="128"/>
      <c r="AT113" s="24"/>
    </row>
    <row r="114" spans="1:46" ht="13.5" thickBot="1" x14ac:dyDescent="0.25">
      <c r="A114" s="24"/>
      <c r="O114" s="24"/>
      <c r="AT114" s="24"/>
    </row>
    <row r="115" spans="1:46" x14ac:dyDescent="0.2">
      <c r="A115" s="24"/>
      <c r="B115" s="1019" t="s">
        <v>400</v>
      </c>
      <c r="C115" s="1020"/>
      <c r="O115" s="24"/>
      <c r="AT115" s="24"/>
    </row>
    <row r="116" spans="1:46" x14ac:dyDescent="0.2">
      <c r="A116" s="24"/>
      <c r="B116" s="435" t="s">
        <v>526</v>
      </c>
      <c r="C116" s="436" t="s">
        <v>388</v>
      </c>
      <c r="O116" s="24"/>
      <c r="AT116" s="24"/>
    </row>
    <row r="117" spans="1:46" x14ac:dyDescent="0.2">
      <c r="A117" s="24"/>
      <c r="B117" s="215" t="s">
        <v>24</v>
      </c>
      <c r="C117" s="214"/>
      <c r="O117" s="24"/>
      <c r="AT117" s="24"/>
    </row>
    <row r="118" spans="1:46" x14ac:dyDescent="0.2">
      <c r="A118" s="24"/>
      <c r="B118" s="202" t="s">
        <v>371</v>
      </c>
      <c r="C118" s="201" t="s">
        <v>387</v>
      </c>
      <c r="O118" s="24"/>
      <c r="AT118" s="24"/>
    </row>
    <row r="119" spans="1:46" x14ac:dyDescent="0.2">
      <c r="A119" s="24"/>
      <c r="B119" s="437">
        <v>15</v>
      </c>
      <c r="C119" s="434" t="s">
        <v>360</v>
      </c>
      <c r="O119" s="24"/>
      <c r="AT119" s="24"/>
    </row>
    <row r="120" spans="1:46" x14ac:dyDescent="0.2">
      <c r="A120" s="24"/>
      <c r="B120" s="202">
        <v>20</v>
      </c>
      <c r="C120" s="201" t="s">
        <v>360</v>
      </c>
      <c r="O120" s="24"/>
      <c r="AT120" s="24"/>
    </row>
    <row r="121" spans="1:46" x14ac:dyDescent="0.2">
      <c r="A121" s="24"/>
      <c r="B121" s="219">
        <v>25</v>
      </c>
      <c r="C121" s="434" t="s">
        <v>360</v>
      </c>
      <c r="O121" s="24"/>
      <c r="AT121" s="24"/>
    </row>
    <row r="122" spans="1:46" x14ac:dyDescent="0.2">
      <c r="A122" s="24"/>
      <c r="B122" s="190"/>
      <c r="C122" s="189"/>
      <c r="O122" s="24"/>
      <c r="AT122" s="24"/>
    </row>
    <row r="123" spans="1:46" x14ac:dyDescent="0.2">
      <c r="A123" s="24"/>
      <c r="B123" s="1021" t="s">
        <v>399</v>
      </c>
      <c r="C123" s="1022"/>
      <c r="O123" s="24"/>
      <c r="AT123" s="24"/>
    </row>
    <row r="124" spans="1:46" ht="13.5" thickBot="1" x14ac:dyDescent="0.25">
      <c r="A124" s="29"/>
      <c r="B124" s="438">
        <v>15</v>
      </c>
      <c r="C124" s="439" t="s">
        <v>360</v>
      </c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24"/>
      <c r="AT124" s="24"/>
    </row>
    <row r="125" spans="1:46" ht="13.5" thickTop="1" x14ac:dyDescent="0.2"/>
  </sheetData>
  <sheetProtection sheet="1" objects="1" scenarios="1"/>
  <mergeCells count="20">
    <mergeCell ref="A1:N1"/>
    <mergeCell ref="B123:C123"/>
    <mergeCell ref="C29:G29"/>
    <mergeCell ref="C90:F90"/>
    <mergeCell ref="H90:K90"/>
    <mergeCell ref="E91:F91"/>
    <mergeCell ref="J91:K91"/>
    <mergeCell ref="B41:I41"/>
    <mergeCell ref="A2:N2"/>
    <mergeCell ref="J41:R41"/>
    <mergeCell ref="M43:N43"/>
    <mergeCell ref="M29:N29"/>
    <mergeCell ref="W12:Z12"/>
    <mergeCell ref="T13:U13"/>
    <mergeCell ref="Y13:Z13"/>
    <mergeCell ref="H29:L29"/>
    <mergeCell ref="B115:C115"/>
    <mergeCell ref="R12:U12"/>
    <mergeCell ref="Q43:R43"/>
    <mergeCell ref="O42:R42"/>
  </mergeCells>
  <dataValidations count="1">
    <dataValidation type="list" allowBlank="1" showInputMessage="1" showErrorMessage="1" sqref="C13" xr:uid="{2ECB8894-08E0-4657-A945-08EB60A4DA55}">
      <formula1>$B$119:$B$121</formula1>
    </dataValidation>
  </dataValidations>
  <pageMargins left="0.19685039370078741" right="0" top="0.59055118110236227" bottom="0.39370078740157483" header="0.51181102362204722" footer="0.51181102362204722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81"/>
  <sheetViews>
    <sheetView tabSelected="1" zoomScaleNormal="100" workbookViewId="0">
      <selection activeCell="E87" sqref="E87"/>
    </sheetView>
  </sheetViews>
  <sheetFormatPr defaultRowHeight="12.75" x14ac:dyDescent="0.2"/>
  <cols>
    <col min="1" max="9" width="16.7109375" customWidth="1"/>
  </cols>
  <sheetData>
    <row r="1" spans="1:9" ht="20.25" x14ac:dyDescent="0.3">
      <c r="A1" s="1029" t="s">
        <v>861</v>
      </c>
      <c r="B1" s="1030"/>
      <c r="C1" s="1030"/>
      <c r="D1" s="1030"/>
      <c r="E1" s="1030"/>
      <c r="F1" s="1030"/>
      <c r="G1" s="1030"/>
      <c r="H1" s="1030"/>
      <c r="I1" s="1031"/>
    </row>
    <row r="2" spans="1:9" ht="21" thickBot="1" x14ac:dyDescent="0.35">
      <c r="A2" s="1032" t="s">
        <v>853</v>
      </c>
      <c r="B2" s="1033"/>
      <c r="C2" s="1033"/>
      <c r="D2" s="1033"/>
      <c r="E2" s="1033"/>
      <c r="F2" s="1033"/>
      <c r="G2" s="1033"/>
      <c r="H2" s="1033"/>
      <c r="I2" s="1034"/>
    </row>
    <row r="3" spans="1:9" ht="13.5" thickTop="1" x14ac:dyDescent="0.2">
      <c r="A3" s="858"/>
      <c r="B3" s="689"/>
      <c r="C3" s="689"/>
      <c r="D3" s="619"/>
      <c r="E3" s="619"/>
      <c r="F3" s="619"/>
      <c r="G3" s="619"/>
      <c r="H3" s="619"/>
      <c r="I3" s="857"/>
    </row>
    <row r="4" spans="1:9" x14ac:dyDescent="0.2">
      <c r="A4" s="856"/>
      <c r="B4" s="688" t="s">
        <v>25</v>
      </c>
      <c r="C4" s="619"/>
      <c r="D4" s="689"/>
      <c r="E4" s="619"/>
      <c r="F4" s="619"/>
      <c r="G4" s="619"/>
      <c r="H4" s="619"/>
      <c r="I4" s="857"/>
    </row>
    <row r="5" spans="1:9" hidden="1" x14ac:dyDescent="0.2">
      <c r="A5" s="858" t="s">
        <v>559</v>
      </c>
      <c r="B5" s="33">
        <v>400</v>
      </c>
      <c r="C5" s="26" t="s">
        <v>562</v>
      </c>
      <c r="D5" s="619"/>
      <c r="E5" s="619"/>
      <c r="F5" s="619"/>
      <c r="G5" s="619"/>
      <c r="H5" s="619"/>
      <c r="I5" s="857"/>
    </row>
    <row r="6" spans="1:9" x14ac:dyDescent="0.2">
      <c r="A6" s="858" t="s">
        <v>560</v>
      </c>
      <c r="B6" s="33">
        <v>800</v>
      </c>
      <c r="C6" s="26" t="s">
        <v>387</v>
      </c>
      <c r="D6" s="689"/>
      <c r="E6" s="619"/>
      <c r="F6" s="619"/>
      <c r="G6" s="619"/>
      <c r="H6" s="619"/>
      <c r="I6" s="857"/>
    </row>
    <row r="7" spans="1:9" ht="13.5" thickBot="1" x14ac:dyDescent="0.25">
      <c r="A7" s="858" t="s">
        <v>561</v>
      </c>
      <c r="B7" s="33">
        <v>500</v>
      </c>
      <c r="C7" s="26" t="s">
        <v>387</v>
      </c>
      <c r="D7" s="619"/>
      <c r="E7" s="619"/>
      <c r="F7" s="619"/>
      <c r="G7" s="619"/>
      <c r="H7" s="619"/>
      <c r="I7" s="857"/>
    </row>
    <row r="8" spans="1:9" ht="14.25" thickTop="1" thickBot="1" x14ac:dyDescent="0.25">
      <c r="A8" s="856"/>
      <c r="B8" s="619"/>
      <c r="C8" s="619"/>
      <c r="D8" s="893" t="s">
        <v>668</v>
      </c>
      <c r="E8" s="895"/>
      <c r="F8" s="893" t="s">
        <v>676</v>
      </c>
      <c r="G8" s="901"/>
      <c r="H8" s="893" t="s">
        <v>870</v>
      </c>
      <c r="I8" s="1028"/>
    </row>
    <row r="9" spans="1:9" x14ac:dyDescent="0.2">
      <c r="A9" s="998" t="s">
        <v>24</v>
      </c>
      <c r="B9" s="999" t="s">
        <v>60</v>
      </c>
      <c r="C9" s="1011"/>
      <c r="D9" s="844" t="s">
        <v>666</v>
      </c>
      <c r="E9" s="859" t="s">
        <v>667</v>
      </c>
      <c r="F9" s="860" t="s">
        <v>666</v>
      </c>
      <c r="G9" s="861" t="s">
        <v>667</v>
      </c>
      <c r="H9" s="860" t="s">
        <v>666</v>
      </c>
      <c r="I9" s="848" t="s">
        <v>667</v>
      </c>
    </row>
    <row r="10" spans="1:9" x14ac:dyDescent="0.2">
      <c r="A10" s="1054"/>
      <c r="B10" s="847" t="s">
        <v>563</v>
      </c>
      <c r="C10" s="848" t="s">
        <v>61</v>
      </c>
      <c r="D10" s="845" t="s">
        <v>669</v>
      </c>
      <c r="E10" s="862" t="s">
        <v>669</v>
      </c>
      <c r="F10" s="863" t="s">
        <v>72</v>
      </c>
      <c r="G10" s="864" t="s">
        <v>72</v>
      </c>
      <c r="H10" s="863" t="s">
        <v>871</v>
      </c>
      <c r="I10" s="865" t="s">
        <v>871</v>
      </c>
    </row>
    <row r="11" spans="1:9" x14ac:dyDescent="0.2">
      <c r="A11" s="849" t="s">
        <v>583</v>
      </c>
      <c r="B11" s="847" t="s">
        <v>863</v>
      </c>
      <c r="C11" s="848" t="s">
        <v>664</v>
      </c>
      <c r="D11" s="846">
        <f>IF(D35="UDEN FOR OMRÅDET","NOT POSSIBLE",VLOOKUP($J$35,A40:D58,4))</f>
        <v>3.8</v>
      </c>
      <c r="E11" s="862">
        <f>IF(E35="UDEN FOR OMRÅDET","NOT POSSIBLE",VLOOKUP($J$36,A40:D58,4))</f>
        <v>3</v>
      </c>
      <c r="F11" s="866">
        <f>IF(D35="UDEN FOR OMRÅDET","NOT POSSIBLE",VLOOKUP($J$35,A40:E58,5))</f>
        <v>18</v>
      </c>
      <c r="G11" s="867">
        <f>IF(E35="UDEN FOR OMRÅDET","NOT POSSIBLE",VLOOKUP($J$36,A40:E58,5))</f>
        <v>15</v>
      </c>
      <c r="H11" s="866">
        <f>IF(D35="UDEN FOR OMRÅDET","NOT POSSIBLE",VLOOKUP($J$35,A40:H58,8))</f>
        <v>25</v>
      </c>
      <c r="I11" s="868">
        <f>IF(E35="UDEN FOR OMRÅDET","NOT POSSIBLE",VLOOKUP($J$36,A40:H58,8))</f>
        <v>18</v>
      </c>
    </row>
    <row r="12" spans="1:9" x14ac:dyDescent="0.2">
      <c r="A12" s="850" t="s">
        <v>661</v>
      </c>
      <c r="B12" s="851" t="s">
        <v>662</v>
      </c>
      <c r="C12" s="852" t="s">
        <v>665</v>
      </c>
      <c r="D12" s="846">
        <f>IF(D36="UDEN FOR OMRÅDET","NOT POSSIBLE",VLOOKUP($K$35,B43:D58,3))</f>
        <v>2.8</v>
      </c>
      <c r="E12" s="862">
        <f>IF(E36="UDEN FOR OMRÅDET","NOT POSSIBLE",VLOOKUP($K$36,B43:D58,3))</f>
        <v>2</v>
      </c>
      <c r="F12" s="866">
        <f>IF(D36="UDEN FOR OMRÅDET","NOT POSSIBLE",VLOOKUP($K$35,B43:F58,5))</f>
        <v>18</v>
      </c>
      <c r="G12" s="867">
        <f>IF(E36="UDEN FOR OMRÅDET","NOT POSSIBLE",VLOOKUP($K$36,B43:F58,5))</f>
        <v>15</v>
      </c>
      <c r="H12" s="866">
        <f>IF(D36="UDEN FOR OMRÅDET","NOT POSSIBLE",VLOOKUP($K$35,B43:I58,8))</f>
        <v>25</v>
      </c>
      <c r="I12" s="868">
        <f>IF(E36="UDEN FOR OMRÅDET","NOT POSSIBLE",VLOOKUP($K$36,B43:I58,8))</f>
        <v>17</v>
      </c>
    </row>
    <row r="13" spans="1:9" ht="13.5" thickBot="1" x14ac:dyDescent="0.25">
      <c r="A13" s="853" t="s">
        <v>48</v>
      </c>
      <c r="B13" s="854" t="s">
        <v>663</v>
      </c>
      <c r="C13" s="855" t="s">
        <v>97</v>
      </c>
      <c r="D13" s="846">
        <f>IF(D37="UDEN FOR OMRÅDET","NOT POSSIBLE",VLOOKUP($L$35,C43:D58,2))</f>
        <v>1.4</v>
      </c>
      <c r="E13" s="821">
        <f>IF(E37="UDEN FOR OMRÅDET","NOT POSSIBLE",VLOOKUP($L$36,C43:D58,2))</f>
        <v>1</v>
      </c>
      <c r="F13" s="823">
        <f>IF(D37="UDEN FOR OMRÅDET","NOT POSSIBLE",VLOOKUP($L$35,C43:G58,5))</f>
        <v>17</v>
      </c>
      <c r="G13" s="869">
        <f>IF(E37="UDEN FOR OMRÅDET","NOT POSSIBLE",VLOOKUP($L$36,C43:G58,5))</f>
        <v>17</v>
      </c>
      <c r="H13" s="823">
        <f>IF(D37="UDEN FOR OMRÅDET","NOT POSSIBLE",VLOOKUP($L$35,C43:J58,8))</f>
        <v>18</v>
      </c>
      <c r="I13" s="870">
        <f>IF(E37="UDEN FOR OMRÅDET","NOT POSSIBLE",VLOOKUP($L$36,C43:J58,8))</f>
        <v>17</v>
      </c>
    </row>
    <row r="14" spans="1:9" ht="13.5" thickTop="1" x14ac:dyDescent="0.2">
      <c r="D14" s="1044" t="s">
        <v>671</v>
      </c>
      <c r="E14" s="1045"/>
      <c r="F14" s="689"/>
      <c r="G14" s="619"/>
      <c r="H14" s="619"/>
      <c r="I14" s="857"/>
    </row>
    <row r="15" spans="1:9" ht="13.5" thickBot="1" x14ac:dyDescent="0.25">
      <c r="D15" s="1046" t="s">
        <v>670</v>
      </c>
      <c r="E15" s="1047"/>
      <c r="F15" s="689"/>
      <c r="G15" s="619"/>
      <c r="H15" s="619"/>
      <c r="I15" s="857"/>
    </row>
    <row r="16" spans="1:9" ht="14.25" thickTop="1" thickBot="1" x14ac:dyDescent="0.25">
      <c r="A16" s="856"/>
      <c r="B16" s="689"/>
      <c r="C16" s="619"/>
      <c r="D16" s="619"/>
      <c r="E16" s="619"/>
      <c r="F16" s="619"/>
      <c r="G16" s="619"/>
      <c r="H16" s="619"/>
      <c r="I16" s="857"/>
    </row>
    <row r="17" spans="1:9" ht="14.25" thickTop="1" thickBot="1" x14ac:dyDescent="0.25">
      <c r="A17" s="149"/>
      <c r="B17" s="904" t="s">
        <v>674</v>
      </c>
      <c r="C17" s="884"/>
      <c r="D17" s="884"/>
      <c r="E17" s="885"/>
      <c r="F17" s="619"/>
      <c r="G17" s="619"/>
      <c r="H17" s="619"/>
      <c r="I17" s="857"/>
    </row>
    <row r="18" spans="1:9" ht="13.5" thickTop="1" x14ac:dyDescent="0.2">
      <c r="A18" s="1052" t="s">
        <v>24</v>
      </c>
      <c r="B18" s="1050" t="s">
        <v>666</v>
      </c>
      <c r="C18" s="1051"/>
      <c r="D18" s="1050" t="s">
        <v>667</v>
      </c>
      <c r="E18" s="1051"/>
      <c r="F18" s="619"/>
      <c r="G18" s="619"/>
      <c r="H18" s="619"/>
      <c r="I18" s="857"/>
    </row>
    <row r="19" spans="1:9" ht="25.5" x14ac:dyDescent="0.2">
      <c r="A19" s="1053"/>
      <c r="B19" s="871" t="s">
        <v>672</v>
      </c>
      <c r="C19" s="872" t="s">
        <v>673</v>
      </c>
      <c r="D19" s="871" t="s">
        <v>672</v>
      </c>
      <c r="E19" s="872" t="s">
        <v>673</v>
      </c>
      <c r="F19" s="619"/>
      <c r="G19" s="619"/>
      <c r="H19" s="619"/>
      <c r="I19" s="857"/>
    </row>
    <row r="20" spans="1:9" x14ac:dyDescent="0.2">
      <c r="A20" s="873" t="s">
        <v>583</v>
      </c>
      <c r="B20" s="874">
        <f>IF(D35="UDEN FOR OMRÅDET","NOT POSSIBLE",(VLOOKUP($J$35,A63:E81,5)))</f>
        <v>0.2</v>
      </c>
      <c r="C20" s="862">
        <f>IF(D35="UDEN FOR OMRÅDET","NOT POSSIBLE",(VLOOKUP($J$35,A63:G81,7)))</f>
        <v>4.3</v>
      </c>
      <c r="D20" s="874">
        <f>IF(E35="UDEN FOR OMRÅDET","NOT POSSIBLE",(VLOOKUP($J$36,A63:D81,4)))</f>
        <v>8.9</v>
      </c>
      <c r="E20" s="862">
        <f>IF(E35="UDEN FOR OMRÅDET","NOT POSSIBLE",(VLOOKUP($J$36,A63:F81,6)))</f>
        <v>18.2</v>
      </c>
      <c r="F20" s="619"/>
      <c r="G20" s="619"/>
      <c r="H20" s="619"/>
      <c r="I20" s="857"/>
    </row>
    <row r="21" spans="1:9" x14ac:dyDescent="0.2">
      <c r="A21" s="875" t="s">
        <v>661</v>
      </c>
      <c r="B21" s="874">
        <f>IF(D36="UDEN FOR OMRÅDET","NOT POSSIBLE",(VLOOKUP($K$35,B66:I81,8)))</f>
        <v>1.3</v>
      </c>
      <c r="C21" s="862">
        <f>IF(D36="UDEN FOR OMRÅDET","NOT POSSIBLE",(VLOOKUP($K$35,B66:K81,10)))</f>
        <v>6.1</v>
      </c>
      <c r="D21" s="874">
        <f>IF(E36="UDEN FOR OMRÅDET","NOT POSSIBLE",(VLOOKUP($K$36,B66:H81,7)))</f>
        <v>7.8</v>
      </c>
      <c r="E21" s="862">
        <f>IF(E36="UDEN FOR OMRÅDET","NOT POSSIBLE",(VLOOKUP($K$36,B66:J81,9)))</f>
        <v>16.5</v>
      </c>
      <c r="F21" s="619"/>
      <c r="G21" s="619"/>
      <c r="H21" s="619"/>
      <c r="I21" s="857"/>
    </row>
    <row r="22" spans="1:9" ht="13.5" thickBot="1" x14ac:dyDescent="0.25">
      <c r="A22" s="876" t="s">
        <v>48</v>
      </c>
      <c r="B22" s="822">
        <f>IF(D37="UDEN FOR OMRÅDET","NOT POSSIBLE",(VLOOKUP($L$35,C66:M81,11)))</f>
        <v>2.9</v>
      </c>
      <c r="C22" s="821">
        <f>IF(D37="UDEN FOR OMRÅDET","NOT POSSIBLE",(VLOOKUP($L$35,C66:O81,13)))</f>
        <v>8.6</v>
      </c>
      <c r="D22" s="822">
        <f>IF(E37="UDEN FOR OMRÅDET","NOT POSSIBLE",(VLOOKUP($L$36,C66:L81,10)))</f>
        <v>6.7</v>
      </c>
      <c r="E22" s="821">
        <f>IF(E37="UDEN FOR OMRÅDET","NOT POSSIBLE",(VLOOKUP($L$36,C66:N81,12)))</f>
        <v>14.7</v>
      </c>
      <c r="F22" s="619"/>
      <c r="G22" s="619"/>
      <c r="H22" s="619"/>
      <c r="I22" s="857"/>
    </row>
    <row r="23" spans="1:9" ht="13.5" thickTop="1" x14ac:dyDescent="0.2">
      <c r="A23" s="856"/>
      <c r="B23" s="619"/>
      <c r="C23" s="619"/>
      <c r="D23" s="619"/>
      <c r="E23" s="619"/>
      <c r="F23" s="619"/>
      <c r="G23" s="619"/>
      <c r="H23" s="619"/>
      <c r="I23" s="857"/>
    </row>
    <row r="24" spans="1:9" x14ac:dyDescent="0.2">
      <c r="A24" s="856"/>
      <c r="B24" s="619"/>
      <c r="C24" s="619"/>
      <c r="D24" s="619"/>
      <c r="E24" s="619"/>
      <c r="F24" s="619"/>
      <c r="G24" s="619"/>
      <c r="H24" s="619"/>
      <c r="I24" s="857"/>
    </row>
    <row r="25" spans="1:9" x14ac:dyDescent="0.2">
      <c r="A25" s="856"/>
      <c r="B25" s="619"/>
      <c r="C25" s="619"/>
      <c r="D25" s="619"/>
      <c r="E25" s="619"/>
      <c r="F25" s="619"/>
      <c r="G25" s="619"/>
      <c r="H25" s="619"/>
      <c r="I25" s="857"/>
    </row>
    <row r="26" spans="1:9" x14ac:dyDescent="0.2">
      <c r="A26" s="856"/>
      <c r="B26" s="619"/>
      <c r="C26" s="619"/>
      <c r="D26" s="619"/>
      <c r="E26" s="619"/>
      <c r="F26" s="619"/>
      <c r="G26" s="619"/>
      <c r="H26" s="619"/>
      <c r="I26" s="857"/>
    </row>
    <row r="27" spans="1:9" x14ac:dyDescent="0.2">
      <c r="A27" s="856"/>
      <c r="B27" s="619"/>
      <c r="C27" s="619"/>
      <c r="D27" s="619"/>
      <c r="E27" s="619"/>
      <c r="F27" s="619"/>
      <c r="G27" s="619"/>
      <c r="H27" s="619"/>
      <c r="I27" s="857"/>
    </row>
    <row r="28" spans="1:9" x14ac:dyDescent="0.2">
      <c r="A28" s="856"/>
      <c r="B28" s="619"/>
      <c r="C28" s="619"/>
      <c r="D28" s="619"/>
      <c r="E28" s="619"/>
      <c r="F28" s="619"/>
      <c r="G28" s="619"/>
      <c r="H28" s="619"/>
      <c r="I28" s="857"/>
    </row>
    <row r="29" spans="1:9" x14ac:dyDescent="0.2">
      <c r="A29" s="856"/>
      <c r="B29" s="619"/>
      <c r="C29" s="619"/>
      <c r="D29" s="619"/>
      <c r="E29" s="619"/>
      <c r="F29" s="619"/>
      <c r="G29" s="619"/>
      <c r="H29" s="619"/>
      <c r="I29" s="857"/>
    </row>
    <row r="30" spans="1:9" x14ac:dyDescent="0.2">
      <c r="A30" s="856"/>
      <c r="B30" s="619"/>
      <c r="C30" s="619"/>
      <c r="D30" s="619"/>
      <c r="E30" s="803"/>
      <c r="F30" s="619"/>
      <c r="G30" s="619"/>
      <c r="H30" s="619"/>
      <c r="I30" s="857"/>
    </row>
    <row r="31" spans="1:9" ht="13.5" thickBot="1" x14ac:dyDescent="0.25">
      <c r="A31" s="877" t="s">
        <v>173</v>
      </c>
      <c r="B31" s="878"/>
      <c r="C31" s="878"/>
      <c r="D31" s="878"/>
      <c r="E31" s="878"/>
      <c r="F31" s="878"/>
      <c r="G31" s="878"/>
      <c r="H31" s="878"/>
      <c r="I31" s="879"/>
    </row>
    <row r="33" spans="1:12" ht="14.25" hidden="1" thickTop="1" thickBot="1" x14ac:dyDescent="0.25">
      <c r="D33" s="598" t="s">
        <v>864</v>
      </c>
      <c r="E33" s="598" t="s">
        <v>865</v>
      </c>
      <c r="F33" s="9" t="s">
        <v>866</v>
      </c>
      <c r="G33" s="12" t="s">
        <v>867</v>
      </c>
      <c r="I33" s="1162" t="s">
        <v>875</v>
      </c>
      <c r="J33" s="1163"/>
      <c r="K33" s="1163"/>
      <c r="L33" s="1164"/>
    </row>
    <row r="34" spans="1:12" ht="13.5" hidden="1" thickTop="1" x14ac:dyDescent="0.2">
      <c r="A34" s="9" t="s">
        <v>0</v>
      </c>
      <c r="B34" s="10" t="s">
        <v>4</v>
      </c>
      <c r="C34" s="10" t="s">
        <v>5</v>
      </c>
      <c r="D34" s="11" t="s">
        <v>675</v>
      </c>
      <c r="E34" s="12" t="s">
        <v>675</v>
      </c>
      <c r="F34" s="602">
        <f>-10*D11-5</f>
        <v>-43</v>
      </c>
      <c r="G34" s="603">
        <f t="shared" ref="F34:G36" si="0">-10*E11-5</f>
        <v>-35</v>
      </c>
      <c r="I34" s="1158"/>
      <c r="J34" s="1159" t="s">
        <v>583</v>
      </c>
      <c r="K34" s="1159" t="s">
        <v>661</v>
      </c>
      <c r="L34" s="1160" t="s">
        <v>48</v>
      </c>
    </row>
    <row r="35" spans="1:12" hidden="1" x14ac:dyDescent="0.2">
      <c r="A35" s="596" t="s">
        <v>583</v>
      </c>
      <c r="B35" s="38">
        <v>30</v>
      </c>
      <c r="C35" s="1">
        <v>830</v>
      </c>
      <c r="D35" s="599">
        <f>IF($B$6&lt;=B35-1,"UDEN FOR OMRÅDET",IF($B$6&gt;=C35+1,"UDEN FOR OMRÅDET",$B$6))</f>
        <v>800</v>
      </c>
      <c r="E35" s="600">
        <f>IF($B$7&lt;=B35-1,"UDEN FOR OMRÅDET",IF($B$7&gt;=C35+1,"UDEN FOR OMRÅDET",$B$7))</f>
        <v>500</v>
      </c>
      <c r="F35" s="602">
        <f t="shared" si="0"/>
        <v>-33</v>
      </c>
      <c r="G35" s="603">
        <f t="shared" si="0"/>
        <v>-25</v>
      </c>
      <c r="I35" s="1158" t="s">
        <v>666</v>
      </c>
      <c r="J35" s="1154" cm="1">
        <f t="array" ref="J35">INDEX(A40:A58,MATCH(MIN(ABS(A40:A58-B6)),ABS(A40:A58-B6),0))</f>
        <v>780</v>
      </c>
      <c r="K35" s="1154" cm="1">
        <f t="array" ref="K35">INDEX(B43:B58,MATCH(MIN(ABS(B43:B58-B6)),ABS(B43:B58-B6),0))</f>
        <v>810</v>
      </c>
      <c r="L35" s="1155" cm="1">
        <f t="array" ref="L35">INDEX(C43:C58,MATCH(MIN(ABS(C43:C58-B6)),ABS(C43:C58-B6),0))</f>
        <v>740</v>
      </c>
    </row>
    <row r="36" spans="1:12" ht="13.5" hidden="1" thickBot="1" x14ac:dyDescent="0.25">
      <c r="A36" s="596" t="s">
        <v>661</v>
      </c>
      <c r="B36" s="2">
        <v>210</v>
      </c>
      <c r="C36" s="2">
        <v>1200</v>
      </c>
      <c r="D36" s="599">
        <f>IF($B$6&lt;=B36-1,"UDEN FOR OMRÅDET",IF($B$6&gt;=C36+1,"UDEN FOR OMRÅDET",$B$6))</f>
        <v>800</v>
      </c>
      <c r="E36" s="600">
        <f t="shared" ref="E36:E37" si="1">IF($B$7&lt;=B36-1,"UDEN FOR OMRÅDET",IF($B$7&gt;=C36+1,"UDEN FOR OMRÅDET",$B$6))</f>
        <v>800</v>
      </c>
      <c r="F36" s="604">
        <f t="shared" si="0"/>
        <v>-19</v>
      </c>
      <c r="G36" s="605">
        <f t="shared" si="0"/>
        <v>-15</v>
      </c>
      <c r="I36" s="1161" t="s">
        <v>667</v>
      </c>
      <c r="J36" s="1156" cm="1">
        <f t="array" ref="J36">INDEX(A63:A81,MATCH(MIN(ABS(A63:A81-B7)),ABS(A63:A81-B7),0))</f>
        <v>460</v>
      </c>
      <c r="K36" s="1156" cm="1">
        <f t="array" ref="K36">INDEX(B66:B81,MATCH(MIN(ABS(B66:B81-B7)),ABS(B66:B81-B7),0))</f>
        <v>490</v>
      </c>
      <c r="L36" s="1157" cm="1">
        <f t="array" ref="L36">INDEX(C66:C81,MATCH(MIN(ABS(C66:C81-B7)),ABS(C66:C81-B7),0))</f>
        <v>460</v>
      </c>
    </row>
    <row r="37" spans="1:12" ht="14.25" hidden="1" thickTop="1" thickBot="1" x14ac:dyDescent="0.25">
      <c r="A37" s="597" t="s">
        <v>48</v>
      </c>
      <c r="B37" s="17">
        <v>460</v>
      </c>
      <c r="C37" s="17">
        <v>4250</v>
      </c>
      <c r="D37" s="601">
        <f>IF($B$6&lt;=B37-1,"UDEN FOR OMRÅDET",IF($B$6&gt;=C37+1,"UDEN FOR OMRÅDET",$B$6))</f>
        <v>800</v>
      </c>
      <c r="E37" s="817">
        <f t="shared" si="1"/>
        <v>800</v>
      </c>
    </row>
    <row r="38" spans="1:12" ht="13.5" hidden="1" thickTop="1" x14ac:dyDescent="0.2">
      <c r="A38" s="1042" t="s">
        <v>388</v>
      </c>
      <c r="B38" s="1043"/>
      <c r="C38" s="1043"/>
      <c r="D38" s="1041" t="s">
        <v>790</v>
      </c>
      <c r="E38" s="1048" t="s">
        <v>868</v>
      </c>
      <c r="F38" s="1043"/>
      <c r="G38" s="1049"/>
      <c r="H38" s="1048" t="s">
        <v>869</v>
      </c>
      <c r="I38" s="1043"/>
      <c r="J38" s="1049"/>
    </row>
    <row r="39" spans="1:12" hidden="1" x14ac:dyDescent="0.2">
      <c r="A39" s="811" t="s">
        <v>583</v>
      </c>
      <c r="B39" s="812" t="s">
        <v>661</v>
      </c>
      <c r="C39" s="812" t="s">
        <v>48</v>
      </c>
      <c r="D39" s="974"/>
      <c r="E39" s="811" t="s">
        <v>583</v>
      </c>
      <c r="F39" s="812" t="s">
        <v>661</v>
      </c>
      <c r="G39" s="815" t="s">
        <v>48</v>
      </c>
      <c r="H39" s="811" t="s">
        <v>583</v>
      </c>
      <c r="I39" s="812" t="s">
        <v>661</v>
      </c>
      <c r="J39" s="815" t="s">
        <v>48</v>
      </c>
    </row>
    <row r="40" spans="1:12" hidden="1" x14ac:dyDescent="0.2">
      <c r="A40" s="811">
        <v>30</v>
      </c>
      <c r="B40" s="1035"/>
      <c r="C40" s="1036"/>
      <c r="D40" s="815">
        <v>0.5</v>
      </c>
      <c r="E40" s="818">
        <v>4</v>
      </c>
      <c r="F40" s="819"/>
      <c r="G40" s="820"/>
      <c r="H40" s="818">
        <v>10</v>
      </c>
      <c r="I40" s="819"/>
      <c r="J40" s="820"/>
    </row>
    <row r="41" spans="1:12" hidden="1" x14ac:dyDescent="0.2">
      <c r="A41" s="811">
        <v>35</v>
      </c>
      <c r="B41" s="1037"/>
      <c r="C41" s="1038"/>
      <c r="D41" s="815">
        <v>0.6</v>
      </c>
      <c r="E41" s="811">
        <v>4</v>
      </c>
      <c r="F41" s="819"/>
      <c r="G41" s="820"/>
      <c r="H41" s="811">
        <v>10</v>
      </c>
      <c r="I41" s="819"/>
      <c r="J41" s="820"/>
    </row>
    <row r="42" spans="1:12" hidden="1" x14ac:dyDescent="0.2">
      <c r="A42" s="811">
        <v>50</v>
      </c>
      <c r="B42" s="1039"/>
      <c r="C42" s="1040"/>
      <c r="D42" s="815">
        <v>0.8</v>
      </c>
      <c r="E42" s="811">
        <v>5</v>
      </c>
      <c r="F42" s="819"/>
      <c r="G42" s="820"/>
      <c r="H42" s="811">
        <v>10</v>
      </c>
      <c r="I42" s="819"/>
      <c r="J42" s="820"/>
    </row>
    <row r="43" spans="1:12" hidden="1" x14ac:dyDescent="0.2">
      <c r="A43" s="811">
        <v>65</v>
      </c>
      <c r="B43" s="812">
        <v>210</v>
      </c>
      <c r="C43" s="812">
        <v>460</v>
      </c>
      <c r="D43" s="815">
        <v>1</v>
      </c>
      <c r="E43" s="811">
        <v>8</v>
      </c>
      <c r="F43" s="812">
        <v>15</v>
      </c>
      <c r="G43" s="815">
        <v>17</v>
      </c>
      <c r="H43" s="811">
        <v>10</v>
      </c>
      <c r="I43" s="812">
        <v>15</v>
      </c>
      <c r="J43" s="815">
        <v>17</v>
      </c>
    </row>
    <row r="44" spans="1:12" hidden="1" x14ac:dyDescent="0.2">
      <c r="A44" s="811">
        <v>75</v>
      </c>
      <c r="B44" s="812">
        <v>260</v>
      </c>
      <c r="C44" s="812">
        <v>600</v>
      </c>
      <c r="D44" s="815">
        <v>1.2</v>
      </c>
      <c r="E44" s="811">
        <v>10</v>
      </c>
      <c r="F44" s="812">
        <v>15</v>
      </c>
      <c r="G44" s="815">
        <v>17</v>
      </c>
      <c r="H44" s="811">
        <v>11</v>
      </c>
      <c r="I44" s="812">
        <v>15</v>
      </c>
      <c r="J44" s="815">
        <v>18</v>
      </c>
    </row>
    <row r="45" spans="1:12" hidden="1" x14ac:dyDescent="0.2">
      <c r="A45" s="811">
        <v>85</v>
      </c>
      <c r="B45" s="812">
        <v>320</v>
      </c>
      <c r="C45" s="812">
        <v>740</v>
      </c>
      <c r="D45" s="815">
        <v>1.4</v>
      </c>
      <c r="E45" s="811">
        <v>11</v>
      </c>
      <c r="F45" s="812">
        <v>15</v>
      </c>
      <c r="G45" s="815">
        <v>17</v>
      </c>
      <c r="H45" s="811">
        <v>12</v>
      </c>
      <c r="I45" s="812">
        <v>16</v>
      </c>
      <c r="J45" s="815">
        <v>18</v>
      </c>
    </row>
    <row r="46" spans="1:12" hidden="1" x14ac:dyDescent="0.2">
      <c r="A46" s="811">
        <v>100</v>
      </c>
      <c r="B46" s="812">
        <v>380</v>
      </c>
      <c r="C46" s="812">
        <v>910</v>
      </c>
      <c r="D46" s="815">
        <v>1.6</v>
      </c>
      <c r="E46" s="811">
        <v>11</v>
      </c>
      <c r="F46" s="812">
        <v>15</v>
      </c>
      <c r="G46" s="815">
        <v>18</v>
      </c>
      <c r="H46" s="811">
        <v>12</v>
      </c>
      <c r="I46" s="812">
        <v>16</v>
      </c>
      <c r="J46" s="815">
        <v>19</v>
      </c>
    </row>
    <row r="47" spans="1:12" hidden="1" x14ac:dyDescent="0.2">
      <c r="A47" s="811">
        <v>120</v>
      </c>
      <c r="B47" s="812">
        <v>430</v>
      </c>
      <c r="C47" s="812">
        <v>1110</v>
      </c>
      <c r="D47" s="815">
        <v>1.8</v>
      </c>
      <c r="E47" s="811">
        <v>12</v>
      </c>
      <c r="F47" s="812">
        <v>15</v>
      </c>
      <c r="G47" s="815">
        <v>18</v>
      </c>
      <c r="H47" s="811">
        <v>13</v>
      </c>
      <c r="I47" s="812">
        <v>17</v>
      </c>
      <c r="J47" s="815">
        <v>19</v>
      </c>
    </row>
    <row r="48" spans="1:12" hidden="1" x14ac:dyDescent="0.2">
      <c r="A48" s="811">
        <v>140</v>
      </c>
      <c r="B48" s="812">
        <v>490</v>
      </c>
      <c r="C48" s="812">
        <v>1310</v>
      </c>
      <c r="D48" s="815">
        <v>2</v>
      </c>
      <c r="E48" s="811">
        <v>13</v>
      </c>
      <c r="F48" s="812">
        <v>15</v>
      </c>
      <c r="G48" s="815">
        <v>18</v>
      </c>
      <c r="H48" s="811">
        <v>14</v>
      </c>
      <c r="I48" s="812">
        <v>17</v>
      </c>
      <c r="J48" s="815">
        <v>20</v>
      </c>
    </row>
    <row r="49" spans="1:15" hidden="1" x14ac:dyDescent="0.2">
      <c r="A49" s="811">
        <v>190</v>
      </c>
      <c r="B49" s="812">
        <v>550</v>
      </c>
      <c r="C49" s="812">
        <v>1540</v>
      </c>
      <c r="D49" s="815">
        <v>2.2000000000000002</v>
      </c>
      <c r="E49" s="811">
        <v>14</v>
      </c>
      <c r="F49" s="812">
        <v>16</v>
      </c>
      <c r="G49" s="815">
        <v>19</v>
      </c>
      <c r="H49" s="811">
        <v>15</v>
      </c>
      <c r="I49" s="812">
        <v>19</v>
      </c>
      <c r="J49" s="815">
        <v>22</v>
      </c>
    </row>
    <row r="50" spans="1:15" hidden="1" x14ac:dyDescent="0.2">
      <c r="A50" s="811">
        <v>240</v>
      </c>
      <c r="B50" s="812">
        <v>610</v>
      </c>
      <c r="C50" s="812">
        <v>1760</v>
      </c>
      <c r="D50" s="815">
        <v>2.4</v>
      </c>
      <c r="E50" s="811">
        <v>14</v>
      </c>
      <c r="F50" s="812">
        <v>17</v>
      </c>
      <c r="G50" s="815">
        <v>20</v>
      </c>
      <c r="H50" s="811">
        <v>15</v>
      </c>
      <c r="I50" s="812">
        <v>21</v>
      </c>
      <c r="J50" s="815">
        <v>24</v>
      </c>
    </row>
    <row r="51" spans="1:15" hidden="1" x14ac:dyDescent="0.2">
      <c r="A51" s="811">
        <v>310</v>
      </c>
      <c r="B51" s="812">
        <v>700</v>
      </c>
      <c r="C51" s="812">
        <v>2020</v>
      </c>
      <c r="D51" s="815">
        <v>2.6</v>
      </c>
      <c r="E51" s="811">
        <v>14</v>
      </c>
      <c r="F51" s="812">
        <v>17</v>
      </c>
      <c r="G51" s="815">
        <v>21</v>
      </c>
      <c r="H51" s="811">
        <v>15</v>
      </c>
      <c r="I51" s="812">
        <v>23</v>
      </c>
      <c r="J51" s="815">
        <v>26</v>
      </c>
    </row>
    <row r="52" spans="1:15" hidden="1" x14ac:dyDescent="0.2">
      <c r="A52" s="811">
        <v>380</v>
      </c>
      <c r="B52" s="812">
        <v>810</v>
      </c>
      <c r="C52" s="812">
        <v>2310</v>
      </c>
      <c r="D52" s="815">
        <v>2.8</v>
      </c>
      <c r="E52" s="811">
        <v>14</v>
      </c>
      <c r="F52" s="812">
        <v>18</v>
      </c>
      <c r="G52" s="815">
        <v>22</v>
      </c>
      <c r="H52" s="811">
        <v>16</v>
      </c>
      <c r="I52" s="812">
        <v>25</v>
      </c>
      <c r="J52" s="815">
        <v>28</v>
      </c>
    </row>
    <row r="53" spans="1:15" hidden="1" x14ac:dyDescent="0.2">
      <c r="A53" s="811">
        <v>460</v>
      </c>
      <c r="B53" s="812">
        <v>910</v>
      </c>
      <c r="C53" s="812">
        <v>2600</v>
      </c>
      <c r="D53" s="815">
        <v>3</v>
      </c>
      <c r="E53" s="811">
        <v>15</v>
      </c>
      <c r="F53" s="812">
        <v>19</v>
      </c>
      <c r="G53" s="815">
        <v>23</v>
      </c>
      <c r="H53" s="811">
        <v>18</v>
      </c>
      <c r="I53" s="812">
        <v>27</v>
      </c>
      <c r="J53" s="815">
        <v>30</v>
      </c>
    </row>
    <row r="54" spans="1:15" hidden="1" x14ac:dyDescent="0.2">
      <c r="A54" s="811">
        <v>560</v>
      </c>
      <c r="B54" s="812">
        <v>1000</v>
      </c>
      <c r="C54" s="812">
        <v>3000</v>
      </c>
      <c r="D54" s="815">
        <v>3.2</v>
      </c>
      <c r="E54" s="811">
        <v>15</v>
      </c>
      <c r="F54" s="812">
        <v>20</v>
      </c>
      <c r="G54" s="815">
        <v>26</v>
      </c>
      <c r="H54" s="811">
        <v>19</v>
      </c>
      <c r="I54" s="812">
        <v>29</v>
      </c>
      <c r="J54" s="815">
        <v>35</v>
      </c>
    </row>
    <row r="55" spans="1:15" hidden="1" x14ac:dyDescent="0.2">
      <c r="A55" s="811">
        <v>660</v>
      </c>
      <c r="B55" s="812">
        <v>1090</v>
      </c>
      <c r="C55" s="812">
        <v>3400</v>
      </c>
      <c r="D55" s="815">
        <v>3.4</v>
      </c>
      <c r="E55" s="811">
        <v>16</v>
      </c>
      <c r="F55" s="812">
        <v>21</v>
      </c>
      <c r="G55" s="815">
        <v>29</v>
      </c>
      <c r="H55" s="811">
        <v>21</v>
      </c>
      <c r="I55" s="812">
        <v>31</v>
      </c>
      <c r="J55" s="815">
        <v>40</v>
      </c>
    </row>
    <row r="56" spans="1:15" hidden="1" x14ac:dyDescent="0.2">
      <c r="A56" s="811">
        <v>730</v>
      </c>
      <c r="B56" s="812">
        <v>1150</v>
      </c>
      <c r="C56" s="812">
        <v>3730</v>
      </c>
      <c r="D56" s="815">
        <v>3.6</v>
      </c>
      <c r="E56" s="811">
        <v>17</v>
      </c>
      <c r="F56" s="812">
        <v>21</v>
      </c>
      <c r="G56" s="815">
        <v>32</v>
      </c>
      <c r="H56" s="811">
        <v>23</v>
      </c>
      <c r="I56" s="812">
        <v>32</v>
      </c>
      <c r="J56" s="815">
        <v>46</v>
      </c>
    </row>
    <row r="57" spans="1:15" hidden="1" x14ac:dyDescent="0.2">
      <c r="A57" s="811">
        <v>780</v>
      </c>
      <c r="B57" s="812">
        <v>1170</v>
      </c>
      <c r="C57" s="812">
        <v>3990</v>
      </c>
      <c r="D57" s="815">
        <v>3.8</v>
      </c>
      <c r="E57" s="811">
        <v>18</v>
      </c>
      <c r="F57" s="812">
        <v>22</v>
      </c>
      <c r="G57" s="815">
        <v>35</v>
      </c>
      <c r="H57" s="811">
        <v>25</v>
      </c>
      <c r="I57" s="812">
        <v>34</v>
      </c>
      <c r="J57" s="815">
        <v>51</v>
      </c>
    </row>
    <row r="58" spans="1:15" ht="13.5" hidden="1" thickBot="1" x14ac:dyDescent="0.25">
      <c r="A58" s="813">
        <v>830</v>
      </c>
      <c r="B58" s="814">
        <v>1200</v>
      </c>
      <c r="C58" s="814">
        <v>4250</v>
      </c>
      <c r="D58" s="816">
        <v>4</v>
      </c>
      <c r="E58" s="813">
        <v>19</v>
      </c>
      <c r="F58" s="814">
        <v>23</v>
      </c>
      <c r="G58" s="816">
        <v>38</v>
      </c>
      <c r="H58" s="813">
        <v>26</v>
      </c>
      <c r="I58" s="814">
        <v>36</v>
      </c>
      <c r="J58" s="816">
        <v>56</v>
      </c>
    </row>
    <row r="59" spans="1:15" ht="14.25" hidden="1" thickTop="1" thickBot="1" x14ac:dyDescent="0.25"/>
    <row r="60" spans="1:15" ht="14.25" hidden="1" thickTop="1" thickBot="1" x14ac:dyDescent="0.25">
      <c r="D60" s="1042" t="s">
        <v>874</v>
      </c>
      <c r="E60" s="1043"/>
      <c r="F60" s="1043"/>
      <c r="G60" s="1055"/>
      <c r="H60" s="1042" t="s">
        <v>661</v>
      </c>
      <c r="I60" s="1043"/>
      <c r="J60" s="1043"/>
      <c r="K60" s="1049"/>
      <c r="L60" s="1058" t="s">
        <v>48</v>
      </c>
      <c r="M60" s="1043"/>
      <c r="N60" s="1043"/>
      <c r="O60" s="1049"/>
    </row>
    <row r="61" spans="1:15" ht="13.5" hidden="1" thickTop="1" x14ac:dyDescent="0.2">
      <c r="A61" s="1042" t="s">
        <v>388</v>
      </c>
      <c r="B61" s="1043"/>
      <c r="C61" s="1055"/>
      <c r="D61" s="1056" t="s">
        <v>873</v>
      </c>
      <c r="E61" s="1057"/>
      <c r="F61" s="1060" t="s">
        <v>872</v>
      </c>
      <c r="G61" s="1062"/>
      <c r="H61" s="1056" t="s">
        <v>873</v>
      </c>
      <c r="I61" s="1057"/>
      <c r="J61" s="1060" t="s">
        <v>872</v>
      </c>
      <c r="K61" s="1061"/>
      <c r="L61" s="1059" t="s">
        <v>873</v>
      </c>
      <c r="M61" s="1057"/>
      <c r="N61" s="1060" t="s">
        <v>872</v>
      </c>
      <c r="O61" s="1061"/>
    </row>
    <row r="62" spans="1:15" hidden="1" x14ac:dyDescent="0.2">
      <c r="A62" s="824" t="s">
        <v>583</v>
      </c>
      <c r="B62" s="825" t="s">
        <v>661</v>
      </c>
      <c r="C62" s="828" t="s">
        <v>48</v>
      </c>
      <c r="D62" s="831" t="s">
        <v>667</v>
      </c>
      <c r="E62" s="833" t="s">
        <v>666</v>
      </c>
      <c r="F62" s="832" t="s">
        <v>667</v>
      </c>
      <c r="G62" s="828" t="s">
        <v>666</v>
      </c>
      <c r="H62" s="831" t="s">
        <v>667</v>
      </c>
      <c r="I62" s="833" t="s">
        <v>666</v>
      </c>
      <c r="J62" s="832" t="s">
        <v>667</v>
      </c>
      <c r="K62" s="834" t="s">
        <v>666</v>
      </c>
      <c r="L62" s="840" t="s">
        <v>667</v>
      </c>
      <c r="M62" s="833" t="s">
        <v>666</v>
      </c>
      <c r="N62" s="832" t="s">
        <v>667</v>
      </c>
      <c r="O62" s="834" t="s">
        <v>666</v>
      </c>
    </row>
    <row r="63" spans="1:15" hidden="1" x14ac:dyDescent="0.2">
      <c r="A63" s="824">
        <v>30</v>
      </c>
      <c r="B63" s="827"/>
      <c r="C63" s="829"/>
      <c r="D63" s="835">
        <v>6.1</v>
      </c>
      <c r="E63" s="833">
        <v>3.9</v>
      </c>
      <c r="F63" s="833">
        <v>13.8</v>
      </c>
      <c r="G63" s="828">
        <v>10.199999999999999</v>
      </c>
      <c r="H63" s="837"/>
      <c r="I63" s="838"/>
      <c r="J63" s="838"/>
      <c r="K63" s="839"/>
      <c r="L63" s="841"/>
      <c r="M63" s="838"/>
      <c r="N63" s="838"/>
      <c r="O63" s="839"/>
    </row>
    <row r="64" spans="1:15" hidden="1" x14ac:dyDescent="0.2">
      <c r="A64" s="824">
        <v>35</v>
      </c>
      <c r="B64" s="827"/>
      <c r="C64" s="829"/>
      <c r="D64" s="835">
        <v>6.2</v>
      </c>
      <c r="E64" s="833">
        <v>3.8</v>
      </c>
      <c r="F64" s="833">
        <v>13.9</v>
      </c>
      <c r="G64" s="828">
        <v>10.1</v>
      </c>
      <c r="H64" s="837"/>
      <c r="I64" s="838"/>
      <c r="J64" s="838"/>
      <c r="K64" s="839"/>
      <c r="L64" s="841"/>
      <c r="M64" s="838"/>
      <c r="N64" s="838"/>
      <c r="O64" s="839"/>
    </row>
    <row r="65" spans="1:15" hidden="1" x14ac:dyDescent="0.2">
      <c r="A65" s="824">
        <v>50</v>
      </c>
      <c r="B65" s="827"/>
      <c r="C65" s="829"/>
      <c r="D65" s="835">
        <v>6.5</v>
      </c>
      <c r="E65" s="833">
        <v>3.5</v>
      </c>
      <c r="F65" s="833">
        <v>14.4</v>
      </c>
      <c r="G65" s="828">
        <v>9.6</v>
      </c>
      <c r="H65" s="837"/>
      <c r="I65" s="838"/>
      <c r="J65" s="838"/>
      <c r="K65" s="839"/>
      <c r="L65" s="841"/>
      <c r="M65" s="838"/>
      <c r="N65" s="838"/>
      <c r="O65" s="839"/>
    </row>
    <row r="66" spans="1:15" hidden="1" x14ac:dyDescent="0.2">
      <c r="A66" s="824">
        <v>65</v>
      </c>
      <c r="B66" s="825">
        <v>210</v>
      </c>
      <c r="C66" s="828">
        <v>460</v>
      </c>
      <c r="D66" s="835">
        <v>6.7</v>
      </c>
      <c r="E66" s="833">
        <v>3.3</v>
      </c>
      <c r="F66" s="833">
        <v>14.7</v>
      </c>
      <c r="G66" s="828">
        <v>9.3000000000000007</v>
      </c>
      <c r="H66" s="835">
        <v>6.7</v>
      </c>
      <c r="I66" s="833">
        <v>3.3</v>
      </c>
      <c r="J66" s="833">
        <v>14.7</v>
      </c>
      <c r="K66" s="834">
        <v>9.3000000000000007</v>
      </c>
      <c r="L66" s="842">
        <v>6.7</v>
      </c>
      <c r="M66" s="833">
        <v>3.3</v>
      </c>
      <c r="N66" s="833">
        <v>14.7</v>
      </c>
      <c r="O66" s="834">
        <v>9.3000000000000007</v>
      </c>
    </row>
    <row r="67" spans="1:15" hidden="1" x14ac:dyDescent="0.2">
      <c r="A67" s="824">
        <v>75</v>
      </c>
      <c r="B67" s="825">
        <v>260</v>
      </c>
      <c r="C67" s="828">
        <v>600</v>
      </c>
      <c r="D67" s="835">
        <v>6.9</v>
      </c>
      <c r="E67" s="833">
        <v>3.1</v>
      </c>
      <c r="F67" s="833">
        <v>15</v>
      </c>
      <c r="G67" s="828">
        <v>9</v>
      </c>
      <c r="H67" s="835">
        <v>6.9</v>
      </c>
      <c r="I67" s="833">
        <v>3.1</v>
      </c>
      <c r="J67" s="833">
        <v>15</v>
      </c>
      <c r="K67" s="834">
        <v>9</v>
      </c>
      <c r="L67" s="842">
        <v>6.9</v>
      </c>
      <c r="M67" s="833">
        <v>3.1</v>
      </c>
      <c r="N67" s="833">
        <v>15</v>
      </c>
      <c r="O67" s="834">
        <v>9</v>
      </c>
    </row>
    <row r="68" spans="1:15" hidden="1" x14ac:dyDescent="0.2">
      <c r="A68" s="824">
        <v>85</v>
      </c>
      <c r="B68" s="825">
        <v>320</v>
      </c>
      <c r="C68" s="828">
        <v>740</v>
      </c>
      <c r="D68" s="835">
        <v>7.1</v>
      </c>
      <c r="E68" s="833">
        <v>2.9</v>
      </c>
      <c r="F68" s="833">
        <v>15.4</v>
      </c>
      <c r="G68" s="828">
        <v>8.6</v>
      </c>
      <c r="H68" s="835">
        <v>7.1</v>
      </c>
      <c r="I68" s="833">
        <v>2.9</v>
      </c>
      <c r="J68" s="833">
        <v>15.4</v>
      </c>
      <c r="K68" s="834">
        <v>8.6</v>
      </c>
      <c r="L68" s="842">
        <v>7.1</v>
      </c>
      <c r="M68" s="833">
        <v>2.9</v>
      </c>
      <c r="N68" s="833">
        <v>15.4</v>
      </c>
      <c r="O68" s="834">
        <v>8.6</v>
      </c>
    </row>
    <row r="69" spans="1:15" hidden="1" x14ac:dyDescent="0.2">
      <c r="A69" s="824">
        <v>100</v>
      </c>
      <c r="B69" s="825">
        <v>380</v>
      </c>
      <c r="C69" s="828">
        <v>910</v>
      </c>
      <c r="D69" s="835">
        <v>7.3</v>
      </c>
      <c r="E69" s="833">
        <v>2.7</v>
      </c>
      <c r="F69" s="833">
        <v>15.7</v>
      </c>
      <c r="G69" s="828">
        <v>8.3000000000000007</v>
      </c>
      <c r="H69" s="835">
        <v>7.3</v>
      </c>
      <c r="I69" s="833">
        <v>2.7</v>
      </c>
      <c r="J69" s="833">
        <v>15.7</v>
      </c>
      <c r="K69" s="834">
        <v>8.3000000000000007</v>
      </c>
      <c r="L69" s="842">
        <v>7.3</v>
      </c>
      <c r="M69" s="833">
        <v>2.7</v>
      </c>
      <c r="N69" s="833">
        <v>15.7</v>
      </c>
      <c r="O69" s="834">
        <v>8.3000000000000007</v>
      </c>
    </row>
    <row r="70" spans="1:15" hidden="1" x14ac:dyDescent="0.2">
      <c r="A70" s="824">
        <v>120</v>
      </c>
      <c r="B70" s="825">
        <v>430</v>
      </c>
      <c r="C70" s="828">
        <v>1110</v>
      </c>
      <c r="D70" s="835">
        <v>7.6</v>
      </c>
      <c r="E70" s="833">
        <v>2.4</v>
      </c>
      <c r="F70" s="833">
        <v>16.2</v>
      </c>
      <c r="G70" s="828">
        <v>7.8</v>
      </c>
      <c r="H70" s="835">
        <v>7.6</v>
      </c>
      <c r="I70" s="833">
        <v>2.4</v>
      </c>
      <c r="J70" s="833">
        <v>16.2</v>
      </c>
      <c r="K70" s="834">
        <v>7.8</v>
      </c>
      <c r="L70" s="842">
        <v>7.6</v>
      </c>
      <c r="M70" s="833">
        <v>2.4</v>
      </c>
      <c r="N70" s="833">
        <v>16.2</v>
      </c>
      <c r="O70" s="834">
        <v>7.8</v>
      </c>
    </row>
    <row r="71" spans="1:15" hidden="1" x14ac:dyDescent="0.2">
      <c r="A71" s="824">
        <v>140</v>
      </c>
      <c r="B71" s="825">
        <v>490</v>
      </c>
      <c r="C71" s="828">
        <v>1310</v>
      </c>
      <c r="D71" s="835">
        <v>7.8</v>
      </c>
      <c r="E71" s="833">
        <v>2.2000000000000002</v>
      </c>
      <c r="F71" s="833">
        <v>16.5</v>
      </c>
      <c r="G71" s="828">
        <v>7.5</v>
      </c>
      <c r="H71" s="835">
        <v>7.8</v>
      </c>
      <c r="I71" s="833">
        <v>2.2000000000000002</v>
      </c>
      <c r="J71" s="833">
        <v>16.5</v>
      </c>
      <c r="K71" s="834">
        <v>7.5</v>
      </c>
      <c r="L71" s="842">
        <v>7.8</v>
      </c>
      <c r="M71" s="833">
        <v>2.2000000000000002</v>
      </c>
      <c r="N71" s="833">
        <v>16.5</v>
      </c>
      <c r="O71" s="834">
        <v>7.5</v>
      </c>
    </row>
    <row r="72" spans="1:15" hidden="1" x14ac:dyDescent="0.2">
      <c r="A72" s="824">
        <v>190</v>
      </c>
      <c r="B72" s="825">
        <v>550</v>
      </c>
      <c r="C72" s="828">
        <v>1540</v>
      </c>
      <c r="D72" s="835">
        <v>8</v>
      </c>
      <c r="E72" s="833">
        <v>2</v>
      </c>
      <c r="F72" s="833">
        <v>16.8</v>
      </c>
      <c r="G72" s="828">
        <v>7.2</v>
      </c>
      <c r="H72" s="835">
        <v>8</v>
      </c>
      <c r="I72" s="833">
        <v>2</v>
      </c>
      <c r="J72" s="833">
        <v>16.8</v>
      </c>
      <c r="K72" s="834">
        <v>7.2</v>
      </c>
      <c r="L72" s="842">
        <v>8</v>
      </c>
      <c r="M72" s="833">
        <v>2</v>
      </c>
      <c r="N72" s="833">
        <v>16.8</v>
      </c>
      <c r="O72" s="834">
        <v>7.2</v>
      </c>
    </row>
    <row r="73" spans="1:15" hidden="1" x14ac:dyDescent="0.2">
      <c r="A73" s="824">
        <v>240</v>
      </c>
      <c r="B73" s="825">
        <v>610</v>
      </c>
      <c r="C73" s="828">
        <v>1760</v>
      </c>
      <c r="D73" s="835">
        <v>8.1999999999999993</v>
      </c>
      <c r="E73" s="833">
        <v>1.8</v>
      </c>
      <c r="F73" s="833">
        <v>17.100000000000001</v>
      </c>
      <c r="G73" s="828">
        <v>6.9</v>
      </c>
      <c r="H73" s="835">
        <v>8.1999999999999993</v>
      </c>
      <c r="I73" s="833">
        <v>1.8</v>
      </c>
      <c r="J73" s="833">
        <v>17.100000000000001</v>
      </c>
      <c r="K73" s="834">
        <v>6.9</v>
      </c>
      <c r="L73" s="842">
        <v>8.1999999999999993</v>
      </c>
      <c r="M73" s="833">
        <v>1.8</v>
      </c>
      <c r="N73" s="833">
        <v>17.100000000000001</v>
      </c>
      <c r="O73" s="834">
        <v>6.9</v>
      </c>
    </row>
    <row r="74" spans="1:15" hidden="1" x14ac:dyDescent="0.2">
      <c r="A74" s="824">
        <v>310</v>
      </c>
      <c r="B74" s="825">
        <v>700</v>
      </c>
      <c r="C74" s="828">
        <v>2020</v>
      </c>
      <c r="D74" s="835">
        <v>8.4</v>
      </c>
      <c r="E74" s="833">
        <v>1.6</v>
      </c>
      <c r="F74" s="833">
        <v>17.399999999999999</v>
      </c>
      <c r="G74" s="828">
        <v>6.6</v>
      </c>
      <c r="H74" s="835">
        <v>8.4</v>
      </c>
      <c r="I74" s="833">
        <v>1.6</v>
      </c>
      <c r="J74" s="833">
        <v>17.399999999999999</v>
      </c>
      <c r="K74" s="834">
        <v>6.6</v>
      </c>
      <c r="L74" s="842">
        <v>8.4</v>
      </c>
      <c r="M74" s="833">
        <v>1.6</v>
      </c>
      <c r="N74" s="833">
        <v>17.399999999999999</v>
      </c>
      <c r="O74" s="834">
        <v>6.6</v>
      </c>
    </row>
    <row r="75" spans="1:15" hidden="1" x14ac:dyDescent="0.2">
      <c r="A75" s="824">
        <v>380</v>
      </c>
      <c r="B75" s="825">
        <v>810</v>
      </c>
      <c r="C75" s="828">
        <v>2310</v>
      </c>
      <c r="D75" s="835">
        <v>8.6999999999999993</v>
      </c>
      <c r="E75" s="833">
        <v>1.3</v>
      </c>
      <c r="F75" s="833">
        <v>17.899999999999999</v>
      </c>
      <c r="G75" s="828">
        <v>6.1</v>
      </c>
      <c r="H75" s="835">
        <v>8.6999999999999993</v>
      </c>
      <c r="I75" s="833">
        <v>1.3</v>
      </c>
      <c r="J75" s="833">
        <v>17.899999999999999</v>
      </c>
      <c r="K75" s="834">
        <v>6.1</v>
      </c>
      <c r="L75" s="842">
        <v>8.6999999999999993</v>
      </c>
      <c r="M75" s="833">
        <v>1.3</v>
      </c>
      <c r="N75" s="833">
        <v>17.899999999999999</v>
      </c>
      <c r="O75" s="834">
        <v>6.1</v>
      </c>
    </row>
    <row r="76" spans="1:15" hidden="1" x14ac:dyDescent="0.2">
      <c r="A76" s="824">
        <v>460</v>
      </c>
      <c r="B76" s="825">
        <v>910</v>
      </c>
      <c r="C76" s="828">
        <v>2600</v>
      </c>
      <c r="D76" s="835">
        <v>8.9</v>
      </c>
      <c r="E76" s="833">
        <v>1.1000000000000001</v>
      </c>
      <c r="F76" s="833">
        <v>18.2</v>
      </c>
      <c r="G76" s="828">
        <v>5.8</v>
      </c>
      <c r="H76" s="835">
        <v>8.9</v>
      </c>
      <c r="I76" s="833">
        <v>1.1000000000000001</v>
      </c>
      <c r="J76" s="833">
        <v>18.2</v>
      </c>
      <c r="K76" s="834">
        <v>5.8</v>
      </c>
      <c r="L76" s="842">
        <v>8.9</v>
      </c>
      <c r="M76" s="833">
        <v>1.1000000000000001</v>
      </c>
      <c r="N76" s="833">
        <v>18.2</v>
      </c>
      <c r="O76" s="834">
        <v>5.8</v>
      </c>
    </row>
    <row r="77" spans="1:15" hidden="1" x14ac:dyDescent="0.2">
      <c r="A77" s="824">
        <v>560</v>
      </c>
      <c r="B77" s="825">
        <v>1000</v>
      </c>
      <c r="C77" s="828">
        <v>3000</v>
      </c>
      <c r="D77" s="835">
        <v>9.1</v>
      </c>
      <c r="E77" s="833">
        <v>0.9</v>
      </c>
      <c r="F77" s="833">
        <v>18.600000000000001</v>
      </c>
      <c r="G77" s="828">
        <v>5.4</v>
      </c>
      <c r="H77" s="835">
        <v>9.1</v>
      </c>
      <c r="I77" s="833">
        <v>0.9</v>
      </c>
      <c r="J77" s="833">
        <v>18.600000000000001</v>
      </c>
      <c r="K77" s="834">
        <v>5.4</v>
      </c>
      <c r="L77" s="842">
        <v>9.1</v>
      </c>
      <c r="M77" s="833">
        <v>0.9</v>
      </c>
      <c r="N77" s="833">
        <v>18.600000000000001</v>
      </c>
      <c r="O77" s="834">
        <v>5.4</v>
      </c>
    </row>
    <row r="78" spans="1:15" hidden="1" x14ac:dyDescent="0.2">
      <c r="A78" s="824">
        <v>660</v>
      </c>
      <c r="B78" s="825">
        <v>1090</v>
      </c>
      <c r="C78" s="828">
        <v>3400</v>
      </c>
      <c r="D78" s="835">
        <v>9.3000000000000007</v>
      </c>
      <c r="E78" s="833">
        <v>0.7</v>
      </c>
      <c r="F78" s="833">
        <v>18.899999999999999</v>
      </c>
      <c r="G78" s="828">
        <v>5.0999999999999996</v>
      </c>
      <c r="H78" s="835">
        <v>9.3000000000000007</v>
      </c>
      <c r="I78" s="833">
        <v>0.7</v>
      </c>
      <c r="J78" s="833">
        <v>18.899999999999999</v>
      </c>
      <c r="K78" s="834">
        <v>5.0999999999999996</v>
      </c>
      <c r="L78" s="842">
        <v>9.3000000000000007</v>
      </c>
      <c r="M78" s="833">
        <v>0.7</v>
      </c>
      <c r="N78" s="833">
        <v>18.899999999999999</v>
      </c>
      <c r="O78" s="834">
        <v>5.0999999999999996</v>
      </c>
    </row>
    <row r="79" spans="1:15" hidden="1" x14ac:dyDescent="0.2">
      <c r="A79" s="824">
        <v>730</v>
      </c>
      <c r="B79" s="825">
        <v>1150</v>
      </c>
      <c r="C79" s="828">
        <v>3730</v>
      </c>
      <c r="D79" s="835">
        <v>9.5</v>
      </c>
      <c r="E79" s="833">
        <v>0.5</v>
      </c>
      <c r="F79" s="833">
        <v>19.2</v>
      </c>
      <c r="G79" s="828">
        <v>4.8</v>
      </c>
      <c r="H79" s="835">
        <v>9.5</v>
      </c>
      <c r="I79" s="833">
        <v>0.5</v>
      </c>
      <c r="J79" s="833">
        <v>19.2</v>
      </c>
      <c r="K79" s="834">
        <v>4.8</v>
      </c>
      <c r="L79" s="842">
        <v>9.5</v>
      </c>
      <c r="M79" s="833">
        <v>0.5</v>
      </c>
      <c r="N79" s="833">
        <v>19.2</v>
      </c>
      <c r="O79" s="834">
        <v>4.8</v>
      </c>
    </row>
    <row r="80" spans="1:15" hidden="1" x14ac:dyDescent="0.2">
      <c r="A80" s="824">
        <v>780</v>
      </c>
      <c r="B80" s="825">
        <v>1170</v>
      </c>
      <c r="C80" s="828">
        <v>3990</v>
      </c>
      <c r="D80" s="835">
        <v>9.8000000000000007</v>
      </c>
      <c r="E80" s="833">
        <v>0.2</v>
      </c>
      <c r="F80" s="833">
        <v>19.7</v>
      </c>
      <c r="G80" s="828">
        <v>4.3</v>
      </c>
      <c r="H80" s="835">
        <v>9.8000000000000007</v>
      </c>
      <c r="I80" s="833">
        <v>0.2</v>
      </c>
      <c r="J80" s="833">
        <v>19.7</v>
      </c>
      <c r="K80" s="834">
        <v>4.3</v>
      </c>
      <c r="L80" s="842">
        <v>9.8000000000000007</v>
      </c>
      <c r="M80" s="833">
        <v>0.2</v>
      </c>
      <c r="N80" s="833">
        <v>19.7</v>
      </c>
      <c r="O80" s="834">
        <v>4.3</v>
      </c>
    </row>
    <row r="81" spans="1:15" ht="13.5" hidden="1" thickBot="1" x14ac:dyDescent="0.25">
      <c r="A81" s="826">
        <v>830</v>
      </c>
      <c r="B81" s="814">
        <v>1200</v>
      </c>
      <c r="C81" s="830">
        <v>4250</v>
      </c>
      <c r="D81" s="826">
        <v>10</v>
      </c>
      <c r="E81" s="814">
        <v>0</v>
      </c>
      <c r="F81" s="814">
        <v>20</v>
      </c>
      <c r="G81" s="830">
        <v>4</v>
      </c>
      <c r="H81" s="826">
        <v>10</v>
      </c>
      <c r="I81" s="814">
        <v>0</v>
      </c>
      <c r="J81" s="814">
        <v>20</v>
      </c>
      <c r="K81" s="836">
        <v>4</v>
      </c>
      <c r="L81" s="843">
        <v>10</v>
      </c>
      <c r="M81" s="814">
        <v>0</v>
      </c>
      <c r="N81" s="814">
        <v>20</v>
      </c>
      <c r="O81" s="836">
        <v>4</v>
      </c>
    </row>
  </sheetData>
  <sheetProtection sheet="1" objects="1" scenarios="1"/>
  <sortState xmlns:xlrd2="http://schemas.microsoft.com/office/spreadsheetml/2017/richdata2" ref="O66:O81">
    <sortCondition descending="1" ref="O66:O81"/>
  </sortState>
  <mergeCells count="29">
    <mergeCell ref="B9:C9"/>
    <mergeCell ref="A61:C61"/>
    <mergeCell ref="D61:E61"/>
    <mergeCell ref="H38:J38"/>
    <mergeCell ref="L60:O60"/>
    <mergeCell ref="L61:M61"/>
    <mergeCell ref="N61:O61"/>
    <mergeCell ref="F61:G61"/>
    <mergeCell ref="D60:G60"/>
    <mergeCell ref="H60:K60"/>
    <mergeCell ref="H61:I61"/>
    <mergeCell ref="J61:K61"/>
    <mergeCell ref="I33:L33"/>
    <mergeCell ref="H8:I8"/>
    <mergeCell ref="A1:I1"/>
    <mergeCell ref="A2:I2"/>
    <mergeCell ref="B40:C42"/>
    <mergeCell ref="D38:D39"/>
    <mergeCell ref="A38:C38"/>
    <mergeCell ref="D8:E8"/>
    <mergeCell ref="D14:E14"/>
    <mergeCell ref="D15:E15"/>
    <mergeCell ref="E38:G38"/>
    <mergeCell ref="F8:G8"/>
    <mergeCell ref="D18:E18"/>
    <mergeCell ref="B17:E17"/>
    <mergeCell ref="A18:A19"/>
    <mergeCell ref="B18:C18"/>
    <mergeCell ref="A9:A10"/>
  </mergeCell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43"/>
  <sheetViews>
    <sheetView workbookViewId="0">
      <selection activeCell="M19" sqref="M19"/>
    </sheetView>
  </sheetViews>
  <sheetFormatPr defaultRowHeight="12.75" x14ac:dyDescent="0.2"/>
  <cols>
    <col min="1" max="1" width="23.7109375" customWidth="1"/>
    <col min="2" max="2" width="14.28515625" customWidth="1"/>
    <col min="3" max="3" width="15.7109375" customWidth="1"/>
    <col min="4" max="6" width="16.7109375" customWidth="1"/>
    <col min="7" max="8" width="10.7109375" customWidth="1"/>
    <col min="9" max="9" width="7.140625" customWidth="1"/>
  </cols>
  <sheetData>
    <row r="1" spans="1:9" ht="21" thickTop="1" x14ac:dyDescent="0.3">
      <c r="A1" s="880" t="s">
        <v>862</v>
      </c>
      <c r="B1" s="881"/>
      <c r="C1" s="881"/>
      <c r="D1" s="881"/>
      <c r="E1" s="881"/>
      <c r="F1" s="881"/>
      <c r="G1" s="881"/>
      <c r="H1" s="881"/>
      <c r="I1" s="892"/>
    </row>
    <row r="2" spans="1:9" ht="21" thickBot="1" x14ac:dyDescent="0.35">
      <c r="A2" s="889" t="s">
        <v>853</v>
      </c>
      <c r="B2" s="890"/>
      <c r="C2" s="890"/>
      <c r="D2" s="890"/>
      <c r="E2" s="890"/>
      <c r="F2" s="890"/>
      <c r="G2" s="890"/>
      <c r="H2" s="890"/>
      <c r="I2" s="891"/>
    </row>
    <row r="3" spans="1:9" ht="13.5" thickTop="1" x14ac:dyDescent="0.2">
      <c r="A3" s="799"/>
      <c r="B3" s="800"/>
      <c r="C3" s="800"/>
      <c r="D3" s="801"/>
      <c r="E3" s="801"/>
      <c r="F3" s="801"/>
      <c r="G3" s="801"/>
      <c r="H3" s="801"/>
      <c r="I3" s="802"/>
    </row>
    <row r="4" spans="1:9" x14ac:dyDescent="0.2">
      <c r="A4" s="618"/>
      <c r="B4" s="688" t="s">
        <v>25</v>
      </c>
      <c r="C4" s="619"/>
      <c r="D4" s="689"/>
      <c r="E4" s="619"/>
      <c r="F4" s="619"/>
      <c r="G4" s="619"/>
      <c r="H4" s="619"/>
      <c r="I4" s="621"/>
    </row>
    <row r="5" spans="1:9" hidden="1" x14ac:dyDescent="0.2">
      <c r="A5" s="622" t="s">
        <v>559</v>
      </c>
      <c r="B5" s="33">
        <v>400</v>
      </c>
      <c r="C5" s="25" t="s">
        <v>562</v>
      </c>
      <c r="I5" s="23"/>
    </row>
    <row r="6" spans="1:9" x14ac:dyDescent="0.2">
      <c r="A6" s="622" t="s">
        <v>560</v>
      </c>
      <c r="B6" s="33">
        <v>1800</v>
      </c>
      <c r="C6" s="689" t="s">
        <v>387</v>
      </c>
      <c r="D6" s="689"/>
      <c r="E6" s="619"/>
      <c r="F6" s="619"/>
      <c r="G6" s="619"/>
      <c r="H6" s="689"/>
      <c r="I6" s="621"/>
    </row>
    <row r="7" spans="1:9" x14ac:dyDescent="0.2">
      <c r="A7" s="622" t="s">
        <v>561</v>
      </c>
      <c r="B7" s="33">
        <v>200</v>
      </c>
      <c r="C7" s="689" t="s">
        <v>387</v>
      </c>
      <c r="D7" s="619"/>
      <c r="E7" s="619"/>
      <c r="F7" s="619"/>
      <c r="G7" s="619"/>
      <c r="H7" s="689"/>
      <c r="I7" s="621"/>
    </row>
    <row r="8" spans="1:9" ht="13.5" thickBot="1" x14ac:dyDescent="0.25">
      <c r="A8" s="622"/>
      <c r="B8" s="624"/>
      <c r="C8" s="689"/>
      <c r="D8" s="619"/>
      <c r="E8" s="619"/>
      <c r="F8" s="619"/>
      <c r="G8" s="619"/>
      <c r="H8" s="689"/>
      <c r="I8" s="621"/>
    </row>
    <row r="9" spans="1:9" ht="14.25" thickTop="1" thickBot="1" x14ac:dyDescent="0.25">
      <c r="A9" s="618"/>
      <c r="B9" s="1067" t="s">
        <v>654</v>
      </c>
      <c r="C9" s="1068"/>
      <c r="D9" s="1068"/>
      <c r="E9" s="1069"/>
      <c r="F9" s="619"/>
      <c r="G9" s="619"/>
      <c r="H9" s="619"/>
      <c r="I9" s="621"/>
    </row>
    <row r="10" spans="1:9" ht="13.5" thickTop="1" x14ac:dyDescent="0.2">
      <c r="A10" s="904" t="s">
        <v>24</v>
      </c>
      <c r="B10" s="925" t="s">
        <v>60</v>
      </c>
      <c r="C10" s="1002"/>
      <c r="D10" s="1002" t="s">
        <v>564</v>
      </c>
      <c r="E10" s="1064"/>
      <c r="F10" s="540" t="s">
        <v>655</v>
      </c>
      <c r="G10" s="902" t="s">
        <v>565</v>
      </c>
      <c r="H10" s="895"/>
      <c r="I10" s="621"/>
    </row>
    <row r="11" spans="1:9" x14ac:dyDescent="0.2">
      <c r="A11" s="1063"/>
      <c r="B11" s="538" t="s">
        <v>563</v>
      </c>
      <c r="C11" s="232" t="s">
        <v>61</v>
      </c>
      <c r="D11" s="114" t="s">
        <v>62</v>
      </c>
      <c r="E11" s="36" t="s">
        <v>72</v>
      </c>
      <c r="F11" s="539" t="s">
        <v>72</v>
      </c>
      <c r="G11" s="1065" t="s">
        <v>62</v>
      </c>
      <c r="H11" s="1066"/>
      <c r="I11" s="621"/>
    </row>
    <row r="12" spans="1:9" x14ac:dyDescent="0.2">
      <c r="A12" s="541" t="s">
        <v>168</v>
      </c>
      <c r="B12" s="538" t="s">
        <v>547</v>
      </c>
      <c r="C12" s="232" t="s">
        <v>652</v>
      </c>
      <c r="D12" s="556" t="str">
        <f>IF(E39="UDEN FOR OMRÅDET","NOT POSSIBLE",IF(F39="UDEN FOR OMRÅDET","NOT POSSIBLE",(0.0111*B6-0.1246)))</f>
        <v>NOT POSSIBLE</v>
      </c>
      <c r="E12" s="550" t="str">
        <f>IF(E39="UDEN FOR OMRÅDET","NOT POSSIBLE",IF($B$6&lt;66,14.6,((((-0.000003*B6^2+0.0097*B6+13.982))))))</f>
        <v>NOT POSSIBLE</v>
      </c>
      <c r="F12" s="590" t="str">
        <f>IF(E12="NOT POSSIBLE","NOT POSSIBLE",(E12+(((B$6/1000)/1.9)^2)*100))</f>
        <v>NOT POSSIBLE</v>
      </c>
      <c r="G12" s="1070" t="str">
        <f>IF(D12="NOT POSSIBLE","NOT POSSIBLE",IF($B$7&gt;$B$6,"NOT POSSIBLE",($B$7/$B$6)))</f>
        <v>NOT POSSIBLE</v>
      </c>
      <c r="H12" s="1071"/>
      <c r="I12" s="621"/>
    </row>
    <row r="13" spans="1:9" x14ac:dyDescent="0.2">
      <c r="A13" s="542" t="s">
        <v>558</v>
      </c>
      <c r="B13" s="545" t="s">
        <v>550</v>
      </c>
      <c r="C13" s="524" t="s">
        <v>651</v>
      </c>
      <c r="D13" s="589" t="str">
        <f>IF(E40="UDEN FOR OMRÅDET","NOT POSSIBLE",IF(F40="UDEN FOR OMRÅDET","NOT POSSIBLE",( 0.0031*B6-0.0739)))</f>
        <v>NOT POSSIBLE</v>
      </c>
      <c r="E13" s="591" t="str">
        <f>IF(E40="UDEN FOR OMRÅDET","NOT POSSIBLE",IF($B$6&lt;219,16,((((-0.000003*B6^2+0.0097*B6+13.982))))))</f>
        <v>NOT POSSIBLE</v>
      </c>
      <c r="F13" s="590" t="str">
        <f t="shared" ref="F13" si="0">IF(E13="NOT POSSIBLE","NOT POSSIBLE",(E13+(((B$6/1000)/1.9)^2)*100))</f>
        <v>NOT POSSIBLE</v>
      </c>
      <c r="G13" s="1070" t="str">
        <f>IF(D13="NOT POSSIBLE","NOT POSSIBLE",IF($B$7&gt;$B$6,"NOT POSSIBLE",($B$7/$B$6)))</f>
        <v>NOT POSSIBLE</v>
      </c>
      <c r="H13" s="1071"/>
      <c r="I13" s="621"/>
    </row>
    <row r="14" spans="1:9" x14ac:dyDescent="0.2">
      <c r="A14" s="543" t="s">
        <v>588</v>
      </c>
      <c r="B14" s="546" t="s">
        <v>591</v>
      </c>
      <c r="C14" s="469" t="s">
        <v>650</v>
      </c>
      <c r="D14" s="556">
        <f>IF(E41="UDEN FOR OMRÅDET","NOT POSSIBLE",IF(F41="UDEN FOR OMRÅDET","NOT POSSIBLE",(ROUND(0.000000000000738*B6^4-0.000000003305773*B6^3+0.000004764953804*B6^2-0.000101647006109*B6+0.281655010967834,1))))</f>
        <v>4</v>
      </c>
      <c r="E14" s="550">
        <f>IF(E41="UDEN FOR OMRÅDET","NOT POSSIBLE",IF($B$6&lt;219,16,((((-1.338352*D14^4+13.061298*D14^3-41.975654*D14^2+55.306489*D14-2.920448))))))</f>
        <v>40.000004000000068</v>
      </c>
      <c r="F14" s="590">
        <f>IF(E14="NOT POSSIBLE","NOT POSSIBLE",(E14+(((B$6/1000)/4.25)^2)*100))</f>
        <v>57.937720262975844</v>
      </c>
      <c r="G14" s="1074">
        <f>IF(D14="NOT POSSIBLE","NOT POSSIBLE",IF($B$7&gt;$B$6,"NOT POSSIBLE",($B$7/$B$6)))</f>
        <v>0.1111111111111111</v>
      </c>
      <c r="H14" s="1075"/>
      <c r="I14" s="621"/>
    </row>
    <row r="15" spans="1:9" ht="13.5" thickBot="1" x14ac:dyDescent="0.25">
      <c r="A15" s="544" t="s">
        <v>649</v>
      </c>
      <c r="B15" s="547" t="s">
        <v>556</v>
      </c>
      <c r="C15" s="537" t="s">
        <v>635</v>
      </c>
      <c r="D15" s="558">
        <f>IF(E42="UDEN FOR OMRÅDET","NOT POSSIBLE",IF(F40="UDEN FOR OMRÅDET","NOT POSSIBLE",( 0.00113*B6-0.077966)))</f>
        <v>1.9560339999999998</v>
      </c>
      <c r="E15" s="555">
        <f>IF(E42="UDEN FOR OMRÅDET","NOT POSSIBLE",IF($B$6&lt;219,16,((((0.1565*D15^3-0.4391*D15^2+0.7641*D15+16.949))))))</f>
        <v>17.934812324661578</v>
      </c>
      <c r="F15" s="592">
        <f>IF(E15="NOT POSSIBLE","NOT POSSIBLE",(E15+(((B$6/1000)/4.25)^2)*100))</f>
        <v>35.872528587637355</v>
      </c>
      <c r="G15" s="1072">
        <f>IF(D15="NOT POSSIBLE","NOT POSSIBLE",IF($B$7&gt;$B$6,"NOT POSSIBLE",($B$7/$B$6)))</f>
        <v>0.1111111111111111</v>
      </c>
      <c r="H15" s="1073"/>
      <c r="I15" s="621"/>
    </row>
    <row r="16" spans="1:9" ht="13.5" thickTop="1" x14ac:dyDescent="0.2">
      <c r="A16" s="618"/>
      <c r="B16" s="619"/>
      <c r="C16" s="619"/>
      <c r="D16" s="619"/>
      <c r="E16" s="619"/>
      <c r="F16" s="619"/>
      <c r="G16" s="619"/>
      <c r="H16" s="619"/>
      <c r="I16" s="621"/>
    </row>
    <row r="17" spans="1:13" x14ac:dyDescent="0.2">
      <c r="A17" s="618"/>
      <c r="B17" s="619"/>
      <c r="C17" s="619"/>
      <c r="D17" s="619"/>
      <c r="E17" s="689"/>
      <c r="F17" s="689"/>
      <c r="G17" s="619"/>
      <c r="H17" s="619"/>
      <c r="I17" s="621"/>
      <c r="M17" s="103"/>
    </row>
    <row r="18" spans="1:13" x14ac:dyDescent="0.2">
      <c r="A18" s="618"/>
      <c r="B18" s="619"/>
      <c r="C18" s="619"/>
      <c r="D18" s="619"/>
      <c r="E18" s="619"/>
      <c r="F18" s="619"/>
      <c r="G18" s="619"/>
      <c r="H18" s="619"/>
      <c r="I18" s="621"/>
    </row>
    <row r="19" spans="1:13" x14ac:dyDescent="0.2">
      <c r="A19" s="618"/>
      <c r="B19" s="619"/>
      <c r="C19" s="619"/>
      <c r="D19" s="619"/>
      <c r="E19" s="619"/>
      <c r="F19" s="619"/>
      <c r="G19" s="619"/>
      <c r="H19" s="619"/>
      <c r="I19" s="621"/>
    </row>
    <row r="20" spans="1:13" x14ac:dyDescent="0.2">
      <c r="A20" s="618"/>
      <c r="B20" s="619"/>
      <c r="C20" s="619"/>
      <c r="D20" s="619"/>
      <c r="E20" s="619"/>
      <c r="F20" s="619"/>
      <c r="G20" s="619"/>
      <c r="H20" s="619"/>
      <c r="I20" s="621"/>
    </row>
    <row r="21" spans="1:13" x14ac:dyDescent="0.2">
      <c r="A21" s="618"/>
      <c r="B21" s="619"/>
      <c r="C21" s="619"/>
      <c r="D21" s="619"/>
      <c r="E21" s="619"/>
      <c r="F21" s="619"/>
      <c r="G21" s="619"/>
      <c r="H21" s="619"/>
      <c r="I21" s="621"/>
    </row>
    <row r="22" spans="1:13" x14ac:dyDescent="0.2">
      <c r="A22" s="618"/>
      <c r="B22" s="619"/>
      <c r="C22" s="619"/>
      <c r="D22" s="619"/>
      <c r="E22" s="619"/>
      <c r="F22" s="619"/>
      <c r="G22" s="619"/>
      <c r="H22" s="619"/>
      <c r="I22" s="621"/>
    </row>
    <row r="23" spans="1:13" x14ac:dyDescent="0.2">
      <c r="A23" s="618"/>
      <c r="B23" s="619"/>
      <c r="C23" s="619"/>
      <c r="D23" s="619"/>
      <c r="E23" s="619"/>
      <c r="F23" s="619"/>
      <c r="G23" s="619"/>
      <c r="H23" s="619"/>
      <c r="I23" s="621"/>
    </row>
    <row r="24" spans="1:13" x14ac:dyDescent="0.2">
      <c r="A24" s="618"/>
      <c r="B24" s="619"/>
      <c r="C24" s="619"/>
      <c r="D24" s="619"/>
      <c r="E24" s="619"/>
      <c r="F24" s="619"/>
      <c r="G24" s="619"/>
      <c r="H24" s="619"/>
      <c r="I24" s="621"/>
    </row>
    <row r="25" spans="1:13" x14ac:dyDescent="0.2">
      <c r="A25" s="618"/>
      <c r="B25" s="619"/>
      <c r="C25" s="619"/>
      <c r="D25" s="619"/>
      <c r="E25" s="619"/>
      <c r="F25" s="619"/>
      <c r="G25" s="619"/>
      <c r="H25" s="619"/>
      <c r="I25" s="621"/>
    </row>
    <row r="26" spans="1:13" x14ac:dyDescent="0.2">
      <c r="A26" s="618"/>
      <c r="B26" s="619"/>
      <c r="C26" s="619"/>
      <c r="D26" s="619"/>
      <c r="E26" s="619"/>
      <c r="F26" s="619"/>
      <c r="G26" s="619"/>
      <c r="H26" s="619"/>
      <c r="I26" s="621"/>
    </row>
    <row r="27" spans="1:13" x14ac:dyDescent="0.2">
      <c r="A27" s="618"/>
      <c r="B27" s="619"/>
      <c r="C27" s="619"/>
      <c r="D27" s="619"/>
      <c r="E27" s="619"/>
      <c r="F27" s="619"/>
      <c r="G27" s="619"/>
      <c r="H27" s="619"/>
      <c r="I27" s="621"/>
    </row>
    <row r="28" spans="1:13" x14ac:dyDescent="0.2">
      <c r="A28" s="618"/>
      <c r="B28" s="619"/>
      <c r="C28" s="619"/>
      <c r="D28" s="619"/>
      <c r="E28" s="619"/>
      <c r="F28" s="619"/>
      <c r="G28" s="619"/>
      <c r="H28" s="619"/>
      <c r="I28" s="621"/>
    </row>
    <row r="29" spans="1:13" x14ac:dyDescent="0.2">
      <c r="A29" s="618"/>
      <c r="B29" s="619"/>
      <c r="C29" s="619"/>
      <c r="D29" s="619"/>
      <c r="E29" s="619"/>
      <c r="F29" s="619"/>
      <c r="G29" s="619"/>
      <c r="H29" s="619"/>
      <c r="I29" s="621"/>
    </row>
    <row r="30" spans="1:13" x14ac:dyDescent="0.2">
      <c r="A30" s="618"/>
      <c r="B30" s="619"/>
      <c r="C30" s="619"/>
      <c r="D30" s="619"/>
      <c r="E30" s="619"/>
      <c r="F30" s="619"/>
      <c r="G30" s="619"/>
      <c r="H30" s="619"/>
      <c r="I30" s="621"/>
    </row>
    <row r="31" spans="1:13" x14ac:dyDescent="0.2">
      <c r="A31" s="618"/>
      <c r="B31" s="619"/>
      <c r="C31" s="619"/>
      <c r="D31" s="619"/>
      <c r="E31" s="619"/>
      <c r="F31" s="619"/>
      <c r="G31" s="619"/>
      <c r="H31" s="619"/>
      <c r="I31" s="621"/>
    </row>
    <row r="32" spans="1:13" x14ac:dyDescent="0.2">
      <c r="A32" s="618"/>
      <c r="B32" s="619"/>
      <c r="C32" s="619"/>
      <c r="D32" s="619"/>
      <c r="E32" s="803"/>
      <c r="F32" s="803"/>
      <c r="G32" s="619"/>
      <c r="H32" s="619"/>
      <c r="I32" s="621"/>
    </row>
    <row r="33" spans="1:9" ht="13.5" thickBot="1" x14ac:dyDescent="0.25">
      <c r="A33" s="804" t="s">
        <v>173</v>
      </c>
      <c r="B33" s="657"/>
      <c r="C33" s="657"/>
      <c r="D33" s="657"/>
      <c r="E33" s="657"/>
      <c r="F33" s="657"/>
      <c r="G33" s="657"/>
      <c r="H33" s="657"/>
      <c r="I33" s="658"/>
    </row>
    <row r="34" spans="1:9" ht="13.5" thickTop="1" x14ac:dyDescent="0.2"/>
    <row r="35" spans="1:9" hidden="1" x14ac:dyDescent="0.2"/>
    <row r="36" spans="1:9" ht="26.25" hidden="1" x14ac:dyDescent="0.4">
      <c r="A36" s="882" t="s">
        <v>11</v>
      </c>
      <c r="B36" s="882"/>
      <c r="C36" s="882"/>
      <c r="D36" s="883"/>
      <c r="E36" s="883"/>
      <c r="F36" s="883"/>
      <c r="G36" s="883"/>
      <c r="H36" s="883"/>
      <c r="I36" s="883"/>
    </row>
    <row r="37" spans="1:9" ht="13.5" hidden="1" thickBot="1" x14ac:dyDescent="0.25"/>
    <row r="38" spans="1:9" ht="14.25" hidden="1" thickTop="1" thickBot="1" x14ac:dyDescent="0.25">
      <c r="A38" s="9" t="s">
        <v>0</v>
      </c>
      <c r="B38" s="10" t="s">
        <v>8</v>
      </c>
      <c r="C38" s="10" t="s">
        <v>4</v>
      </c>
      <c r="D38" s="10" t="s">
        <v>5</v>
      </c>
      <c r="E38" s="11" t="s">
        <v>6</v>
      </c>
      <c r="F38" s="12" t="s">
        <v>7</v>
      </c>
    </row>
    <row r="39" spans="1:9" ht="13.5" hidden="1" thickBot="1" x14ac:dyDescent="0.25">
      <c r="A39" s="450" t="s">
        <v>168</v>
      </c>
      <c r="B39" s="61">
        <v>0.9</v>
      </c>
      <c r="C39" s="38">
        <v>65</v>
      </c>
      <c r="D39" s="1">
        <v>370</v>
      </c>
      <c r="E39" s="2" t="str">
        <f>IF($B$6&lt;=C39-1,"UDEN FOR OMRÅDET",IF($B$6&gt;=D39+1,"UDEN FOR OMRÅDET",$B$6))</f>
        <v>UDEN FOR OMRÅDET</v>
      </c>
      <c r="F39" s="14">
        <v>600</v>
      </c>
    </row>
    <row r="40" spans="1:9" ht="13.5" hidden="1" thickBot="1" x14ac:dyDescent="0.25">
      <c r="A40" s="450" t="s">
        <v>558</v>
      </c>
      <c r="B40" s="64">
        <v>2.7</v>
      </c>
      <c r="C40" s="2">
        <v>220</v>
      </c>
      <c r="D40" s="2">
        <v>1330</v>
      </c>
      <c r="E40" s="2" t="str">
        <f>IF($B$6&lt;=C40-1,"UDEN FOR OMRÅDET",IF($B$6&gt;=D40+1,"UDEN FOR OMRÅDET",$B$6))</f>
        <v>UDEN FOR OMRÅDET</v>
      </c>
      <c r="F40" s="14">
        <v>600</v>
      </c>
    </row>
    <row r="41" spans="1:9" ht="13.5" hidden="1" thickBot="1" x14ac:dyDescent="0.25">
      <c r="A41" s="450" t="s">
        <v>653</v>
      </c>
      <c r="B41" s="64">
        <v>2.9</v>
      </c>
      <c r="C41" s="2">
        <v>300</v>
      </c>
      <c r="D41" s="2">
        <v>1800</v>
      </c>
      <c r="E41" s="2">
        <f>IF($B$6&lt;=C41-1,"UDEN FOR OMRÅDET",IF($B$6&gt;=D41+1,"UDEN FOR OMRÅDET",$B$6))</f>
        <v>1800</v>
      </c>
      <c r="F41" s="14">
        <v>600</v>
      </c>
    </row>
    <row r="42" spans="1:9" hidden="1" x14ac:dyDescent="0.2">
      <c r="A42" s="450" t="s">
        <v>49</v>
      </c>
      <c r="B42" s="64">
        <v>7.5</v>
      </c>
      <c r="C42" s="2">
        <v>600</v>
      </c>
      <c r="D42" s="2">
        <v>3609</v>
      </c>
      <c r="E42" s="2">
        <f>IF($B$6&lt;=C42-1,"UDEN FOR OMRÅDET",IF($B$6&gt;=D42+1,"UDEN FOR OMRÅDET",$B$6))</f>
        <v>1800</v>
      </c>
      <c r="F42" s="14">
        <v>800</v>
      </c>
    </row>
    <row r="43" spans="1:9" hidden="1" x14ac:dyDescent="0.2"/>
  </sheetData>
  <sheetProtection sheet="1" objects="1" scenarios="1"/>
  <mergeCells count="13">
    <mergeCell ref="G12:H12"/>
    <mergeCell ref="G13:H13"/>
    <mergeCell ref="G15:H15"/>
    <mergeCell ref="A36:I36"/>
    <mergeCell ref="G14:H14"/>
    <mergeCell ref="A1:I1"/>
    <mergeCell ref="A2:I2"/>
    <mergeCell ref="A10:A11"/>
    <mergeCell ref="B10:C10"/>
    <mergeCell ref="D10:E10"/>
    <mergeCell ref="G10:H10"/>
    <mergeCell ref="G11:H11"/>
    <mergeCell ref="B9:E9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941C4-BD97-4126-8625-451334FE99FB}">
  <dimension ref="A1:R90"/>
  <sheetViews>
    <sheetView workbookViewId="0">
      <selection activeCell="A3" sqref="A3"/>
    </sheetView>
  </sheetViews>
  <sheetFormatPr defaultColWidth="11.42578125" defaultRowHeight="12.75" x14ac:dyDescent="0.2"/>
  <cols>
    <col min="1" max="1" width="12.7109375" customWidth="1"/>
    <col min="2" max="2" width="14.28515625" bestFit="1" customWidth="1"/>
    <col min="3" max="4" width="12.7109375" style="385" customWidth="1"/>
    <col min="5" max="18" width="12.7109375" customWidth="1"/>
  </cols>
  <sheetData>
    <row r="1" spans="1:9" ht="21" thickTop="1" x14ac:dyDescent="0.3">
      <c r="A1" s="932" t="s">
        <v>769</v>
      </c>
      <c r="B1" s="933"/>
      <c r="C1" s="933"/>
      <c r="D1" s="933"/>
      <c r="E1" s="933"/>
      <c r="F1" s="933"/>
      <c r="G1" s="933"/>
      <c r="H1" s="933"/>
      <c r="I1" s="934"/>
    </row>
    <row r="2" spans="1:9" ht="21" thickBot="1" x14ac:dyDescent="0.35">
      <c r="A2" s="1076" t="s">
        <v>853</v>
      </c>
      <c r="B2" s="1077"/>
      <c r="C2" s="1077"/>
      <c r="D2" s="1077"/>
      <c r="E2" s="1077"/>
      <c r="F2" s="1077"/>
      <c r="G2" s="1077"/>
      <c r="H2" s="1077"/>
      <c r="I2" s="1078"/>
    </row>
    <row r="3" spans="1:9" ht="20.25" x14ac:dyDescent="0.3">
      <c r="A3" s="615"/>
      <c r="B3" s="616"/>
      <c r="C3" s="616"/>
      <c r="D3" s="616"/>
      <c r="E3" s="616"/>
      <c r="F3" s="616"/>
      <c r="G3" s="616"/>
      <c r="H3" s="616"/>
      <c r="I3" s="617"/>
    </row>
    <row r="4" spans="1:9" x14ac:dyDescent="0.2">
      <c r="A4" s="618"/>
      <c r="B4" s="619"/>
      <c r="C4" s="19" t="s">
        <v>25</v>
      </c>
      <c r="D4" s="620"/>
      <c r="E4" s="619"/>
      <c r="F4" s="619"/>
      <c r="G4" s="619"/>
      <c r="H4" s="619"/>
      <c r="I4" s="621"/>
    </row>
    <row r="5" spans="1:9" x14ac:dyDescent="0.2">
      <c r="A5" s="622" t="s">
        <v>770</v>
      </c>
      <c r="B5" s="619"/>
      <c r="C5" s="33">
        <v>5000</v>
      </c>
      <c r="D5" s="623" t="s">
        <v>69</v>
      </c>
      <c r="E5" s="619"/>
      <c r="F5" s="619"/>
      <c r="G5" s="619"/>
      <c r="H5" s="619"/>
      <c r="I5" s="621"/>
    </row>
    <row r="6" spans="1:9" x14ac:dyDescent="0.2">
      <c r="A6" s="622" t="s">
        <v>771</v>
      </c>
      <c r="B6" s="619"/>
      <c r="C6" s="33">
        <v>10</v>
      </c>
      <c r="D6" s="234" t="s">
        <v>773</v>
      </c>
      <c r="G6" s="619"/>
      <c r="H6" s="619"/>
      <c r="I6" s="621"/>
    </row>
    <row r="7" spans="1:9" x14ac:dyDescent="0.2">
      <c r="A7" s="622"/>
      <c r="B7" s="619"/>
      <c r="C7" s="624"/>
      <c r="D7" s="623"/>
      <c r="E7" s="619"/>
      <c r="F7" s="619"/>
      <c r="G7" s="619"/>
      <c r="H7" s="619"/>
      <c r="I7" s="621"/>
    </row>
    <row r="8" spans="1:9" x14ac:dyDescent="0.2">
      <c r="A8" s="622" t="s">
        <v>772</v>
      </c>
      <c r="C8" s="625">
        <f>0.01*C5/SQRT(C6)</f>
        <v>15.811388300841896</v>
      </c>
      <c r="D8" s="619"/>
      <c r="E8" s="619"/>
      <c r="F8" s="619"/>
      <c r="G8" s="619"/>
      <c r="H8" s="619"/>
      <c r="I8" s="621"/>
    </row>
    <row r="9" spans="1:9" x14ac:dyDescent="0.2">
      <c r="A9" s="622"/>
      <c r="B9" s="619"/>
      <c r="C9" s="624"/>
      <c r="D9" s="623"/>
      <c r="E9" s="619"/>
      <c r="F9" s="619"/>
      <c r="G9" s="619"/>
      <c r="H9" s="619"/>
      <c r="I9" s="621"/>
    </row>
    <row r="10" spans="1:9" x14ac:dyDescent="0.2">
      <c r="A10" s="622"/>
      <c r="B10" s="619"/>
      <c r="C10" s="624"/>
      <c r="D10" s="623"/>
      <c r="E10" s="619"/>
      <c r="F10" s="619"/>
      <c r="G10" s="619"/>
      <c r="H10" s="619"/>
      <c r="I10" s="621"/>
    </row>
    <row r="11" spans="1:9" x14ac:dyDescent="0.2">
      <c r="A11" s="622"/>
      <c r="B11" s="619"/>
      <c r="C11" s="624"/>
      <c r="D11" s="623"/>
      <c r="E11" s="619"/>
      <c r="F11" s="619"/>
      <c r="G11" s="619"/>
      <c r="H11" s="619"/>
      <c r="I11" s="621"/>
    </row>
    <row r="12" spans="1:9" x14ac:dyDescent="0.2">
      <c r="A12" s="622"/>
      <c r="B12" s="619"/>
      <c r="C12" s="624"/>
      <c r="D12" s="623"/>
      <c r="E12" s="619"/>
      <c r="F12" s="619"/>
      <c r="G12" s="619"/>
      <c r="H12" s="619"/>
      <c r="I12" s="621"/>
    </row>
    <row r="13" spans="1:9" x14ac:dyDescent="0.2">
      <c r="A13" s="622"/>
      <c r="B13" s="619"/>
      <c r="C13" s="624"/>
      <c r="D13" s="623"/>
      <c r="E13" s="619"/>
      <c r="F13" s="619"/>
      <c r="G13" s="619"/>
      <c r="H13" s="619"/>
      <c r="I13" s="621"/>
    </row>
    <row r="14" spans="1:9" x14ac:dyDescent="0.2">
      <c r="A14" s="622"/>
      <c r="B14" s="619"/>
      <c r="C14" s="624"/>
      <c r="D14" s="623"/>
      <c r="E14" s="619"/>
      <c r="F14" s="619"/>
      <c r="G14" s="619"/>
      <c r="H14" s="619"/>
      <c r="I14" s="621"/>
    </row>
    <row r="15" spans="1:9" x14ac:dyDescent="0.2">
      <c r="A15" s="622"/>
      <c r="B15" s="619"/>
      <c r="C15" s="624"/>
      <c r="D15" s="623"/>
      <c r="E15" s="619"/>
      <c r="F15" s="619"/>
      <c r="G15" s="619"/>
      <c r="H15" s="619"/>
      <c r="I15" s="621"/>
    </row>
    <row r="16" spans="1:9" x14ac:dyDescent="0.2">
      <c r="A16" s="622"/>
      <c r="B16" s="619"/>
      <c r="C16" s="624"/>
      <c r="D16" s="623"/>
      <c r="E16" s="619"/>
      <c r="F16" s="619"/>
      <c r="G16" s="619"/>
      <c r="H16" s="619"/>
      <c r="I16" s="621"/>
    </row>
    <row r="17" spans="1:18" x14ac:dyDescent="0.2">
      <c r="A17" s="622"/>
      <c r="B17" s="619"/>
      <c r="C17" s="620"/>
      <c r="D17" s="620"/>
      <c r="E17" s="619"/>
      <c r="F17" s="619"/>
      <c r="G17" s="619"/>
      <c r="H17" s="619"/>
      <c r="I17" s="621"/>
    </row>
    <row r="18" spans="1:18" x14ac:dyDescent="0.2">
      <c r="A18" s="622"/>
      <c r="B18" s="619"/>
      <c r="C18" s="620"/>
      <c r="D18" s="620"/>
      <c r="E18" s="619"/>
      <c r="F18" s="619"/>
      <c r="G18" s="619"/>
      <c r="H18" s="619"/>
      <c r="I18" s="621"/>
    </row>
    <row r="19" spans="1:18" x14ac:dyDescent="0.2">
      <c r="A19" s="618"/>
      <c r="B19" s="619"/>
      <c r="C19" s="620"/>
      <c r="D19" s="620"/>
      <c r="E19" s="623"/>
      <c r="F19" s="619"/>
      <c r="G19" s="619"/>
      <c r="H19" s="619"/>
      <c r="I19" s="621"/>
    </row>
    <row r="20" spans="1:18" ht="13.5" thickBot="1" x14ac:dyDescent="0.25">
      <c r="A20" s="618"/>
      <c r="B20" s="619"/>
      <c r="C20" s="620"/>
      <c r="D20" s="620"/>
      <c r="E20" s="619"/>
      <c r="F20" s="619"/>
      <c r="G20" s="619"/>
      <c r="H20" s="619"/>
      <c r="I20" s="621"/>
    </row>
    <row r="21" spans="1:18" ht="38.25" customHeight="1" x14ac:dyDescent="0.2">
      <c r="A21" s="626" t="s">
        <v>371</v>
      </c>
      <c r="B21" s="1079" t="s">
        <v>774</v>
      </c>
      <c r="C21" s="1079"/>
      <c r="D21" s="1080" t="s">
        <v>62</v>
      </c>
      <c r="E21" s="1080"/>
      <c r="F21" s="1081" t="s">
        <v>775</v>
      </c>
      <c r="G21" s="1082"/>
      <c r="H21" s="1083" t="s">
        <v>776</v>
      </c>
      <c r="I21" s="1084"/>
    </row>
    <row r="22" spans="1:18" x14ac:dyDescent="0.2">
      <c r="A22" s="627">
        <v>15</v>
      </c>
      <c r="B22" s="1085">
        <v>6.8</v>
      </c>
      <c r="C22" s="1085"/>
      <c r="D22" s="1086" t="str">
        <f>IF($C$8&gt;B22,"NOT POSSIBLE",(VLOOKUP($C$8,A$32:C72,3)))</f>
        <v>NOT POSSIBLE</v>
      </c>
      <c r="E22" s="1087"/>
      <c r="F22" s="1088" t="str">
        <f>IF($C$8&gt;$B22,"NOT POSSIBLE",(VLOOKUP($C$8,A$32:C72,2)))</f>
        <v>NOT POSSIBLE</v>
      </c>
      <c r="G22" s="1088"/>
      <c r="H22" s="1089" t="str">
        <f t="shared" ref="H22:H27" si="0">IF($C$8&gt;B22,"NOT POSSIBLE",((($C$5/1000)/F22)^2)*100)</f>
        <v>NOT POSSIBLE</v>
      </c>
      <c r="I22" s="1090"/>
    </row>
    <row r="23" spans="1:18" x14ac:dyDescent="0.2">
      <c r="A23" s="628">
        <v>20</v>
      </c>
      <c r="B23" s="1091">
        <v>9.9</v>
      </c>
      <c r="C23" s="1091"/>
      <c r="D23" s="1086" t="str">
        <f>IF($C$8&gt;B23,"NOT POSSIBLE",(VLOOKUP($C$8,D$32:F72,3)))</f>
        <v>NOT POSSIBLE</v>
      </c>
      <c r="E23" s="1087"/>
      <c r="F23" s="1088" t="str">
        <f>IF($C$8&gt;$B23,"NOT POSSIBLE",(VLOOKUP($C$8,D$32:F72,2)))</f>
        <v>NOT POSSIBLE</v>
      </c>
      <c r="G23" s="1088"/>
      <c r="H23" s="1089" t="str">
        <f t="shared" si="0"/>
        <v>NOT POSSIBLE</v>
      </c>
      <c r="I23" s="1090"/>
    </row>
    <row r="24" spans="1:18" x14ac:dyDescent="0.2">
      <c r="A24" s="627">
        <v>25</v>
      </c>
      <c r="B24" s="1085">
        <v>31.8</v>
      </c>
      <c r="C24" s="1085"/>
      <c r="D24" s="1086">
        <f>IF($C$8&gt;B24,"NOT POSSIBLE",(VLOOKUP($C$8,G$32:I72,3)))</f>
        <v>1.9</v>
      </c>
      <c r="E24" s="1087"/>
      <c r="F24" s="1088">
        <f>IF($C$8&gt;$B24,"NOT POSSIBLE",(VLOOKUP($C$8,G$32:I72,2)))</f>
        <v>7.3780000000000001</v>
      </c>
      <c r="G24" s="1088"/>
      <c r="H24" s="1089">
        <f t="shared" si="0"/>
        <v>45.926432028402964</v>
      </c>
      <c r="I24" s="1090"/>
    </row>
    <row r="25" spans="1:18" x14ac:dyDescent="0.2">
      <c r="A25" s="628">
        <v>32</v>
      </c>
      <c r="B25" s="1091">
        <v>23</v>
      </c>
      <c r="C25" s="1091"/>
      <c r="D25" s="1086">
        <f>IF($C$8&gt;B25,"NOT POSSIBLE",(VLOOKUP($C$8,J$32:L72,3)))</f>
        <v>2.4</v>
      </c>
      <c r="E25" s="1087"/>
      <c r="F25" s="1088">
        <f>IF($C$8&gt;$B25,"NOT POSSIBLE",(VLOOKUP($C$8,J$32:L72,2)))</f>
        <v>14.784000000000001</v>
      </c>
      <c r="G25" s="1088"/>
      <c r="H25" s="1089">
        <f t="shared" si="0"/>
        <v>11.438158252281628</v>
      </c>
      <c r="I25" s="1090"/>
    </row>
    <row r="26" spans="1:18" x14ac:dyDescent="0.2">
      <c r="A26" s="627">
        <v>40</v>
      </c>
      <c r="B26" s="1085">
        <v>40</v>
      </c>
      <c r="C26" s="1085"/>
      <c r="D26" s="1086">
        <f>IF($C$8&gt;B26,"NOT POSSIBLE",(VLOOKUP($C$8,M$32:O72,3)))</f>
        <v>1.6</v>
      </c>
      <c r="E26" s="1087"/>
      <c r="F26" s="1088">
        <f>IF($C$8&gt;$B26,"NOT POSSIBLE",(VLOOKUP($C$8,M$32:O72,2)))</f>
        <v>13.736000000000001</v>
      </c>
      <c r="G26" s="1088"/>
      <c r="H26" s="1089">
        <f t="shared" si="0"/>
        <v>13.250108799293372</v>
      </c>
      <c r="I26" s="1090"/>
    </row>
    <row r="27" spans="1:18" ht="13.5" thickBot="1" x14ac:dyDescent="0.25">
      <c r="A27" s="629">
        <v>50</v>
      </c>
      <c r="B27" s="1095">
        <v>49.7</v>
      </c>
      <c r="C27" s="1095"/>
      <c r="D27" s="1096">
        <f>IF($C$8&gt;B27,"NOT POSSIBLE",(VLOOKUP($C$8,P$32:R77,3)))</f>
        <v>1.3</v>
      </c>
      <c r="E27" s="1097"/>
      <c r="F27" s="1098">
        <f>IF($C$8&gt;$B27,"NOT POSSIBLE",(VLOOKUP($C$8,P$32:R77,2)))</f>
        <v>15.49</v>
      </c>
      <c r="G27" s="1098"/>
      <c r="H27" s="1099">
        <f t="shared" si="0"/>
        <v>10.419267142090881</v>
      </c>
      <c r="I27" s="1100"/>
    </row>
    <row r="28" spans="1:18" ht="13.5" thickTop="1" x14ac:dyDescent="0.2">
      <c r="A28" s="385"/>
      <c r="B28" s="385"/>
      <c r="D28" s="50"/>
      <c r="E28" s="50"/>
      <c r="F28" s="50"/>
    </row>
    <row r="29" spans="1:18" hidden="1" x14ac:dyDescent="0.2"/>
    <row r="30" spans="1:18" hidden="1" x14ac:dyDescent="0.2">
      <c r="A30" s="1101" t="s">
        <v>752</v>
      </c>
      <c r="B30" s="1102"/>
      <c r="C30" s="1103"/>
      <c r="D30" s="1092" t="s">
        <v>48</v>
      </c>
      <c r="E30" s="1093"/>
      <c r="F30" s="1094"/>
      <c r="G30" s="1104" t="s">
        <v>49</v>
      </c>
      <c r="H30" s="1102"/>
      <c r="I30" s="1103"/>
      <c r="J30" s="1092" t="s">
        <v>50</v>
      </c>
      <c r="K30" s="1093"/>
      <c r="L30" s="1094"/>
      <c r="M30" s="1104" t="s">
        <v>51</v>
      </c>
      <c r="N30" s="1102"/>
      <c r="O30" s="1103"/>
      <c r="P30" s="1092" t="s">
        <v>52</v>
      </c>
      <c r="Q30" s="1093"/>
      <c r="R30" s="1094"/>
    </row>
    <row r="31" spans="1:18" hidden="1" x14ac:dyDescent="0.2">
      <c r="A31" s="165" t="s">
        <v>753</v>
      </c>
      <c r="B31" s="630" t="s">
        <v>754</v>
      </c>
      <c r="C31" s="631" t="s">
        <v>755</v>
      </c>
      <c r="D31" s="632" t="s">
        <v>753</v>
      </c>
      <c r="E31" s="633" t="s">
        <v>754</v>
      </c>
      <c r="F31" s="634" t="s">
        <v>755</v>
      </c>
      <c r="G31" s="635" t="s">
        <v>753</v>
      </c>
      <c r="H31" s="630" t="s">
        <v>754</v>
      </c>
      <c r="I31" s="631" t="s">
        <v>755</v>
      </c>
      <c r="J31" s="636" t="s">
        <v>753</v>
      </c>
      <c r="K31" s="633" t="s">
        <v>754</v>
      </c>
      <c r="L31" s="634" t="s">
        <v>755</v>
      </c>
      <c r="M31" s="635" t="s">
        <v>753</v>
      </c>
      <c r="N31" s="630" t="s">
        <v>754</v>
      </c>
      <c r="O31" s="631" t="s">
        <v>755</v>
      </c>
      <c r="P31" s="636" t="s">
        <v>753</v>
      </c>
      <c r="Q31" s="633" t="s">
        <v>754</v>
      </c>
      <c r="R31" s="634" t="s">
        <v>755</v>
      </c>
    </row>
    <row r="32" spans="1:18" ht="14.25" hidden="1" x14ac:dyDescent="0.2">
      <c r="A32" s="637">
        <v>0</v>
      </c>
      <c r="B32" s="638">
        <v>0</v>
      </c>
      <c r="C32" s="631">
        <v>0</v>
      </c>
      <c r="D32" s="639">
        <v>0</v>
      </c>
      <c r="E32" s="640">
        <v>0</v>
      </c>
      <c r="F32" s="634">
        <v>0</v>
      </c>
      <c r="G32" s="641">
        <v>0</v>
      </c>
      <c r="H32" s="642">
        <v>0</v>
      </c>
      <c r="I32" s="631">
        <v>0</v>
      </c>
      <c r="J32" s="639">
        <v>0</v>
      </c>
      <c r="K32" s="640">
        <v>0</v>
      </c>
      <c r="L32" s="634">
        <v>0</v>
      </c>
      <c r="M32" s="641">
        <v>0</v>
      </c>
      <c r="N32" s="642">
        <v>0</v>
      </c>
      <c r="O32" s="631">
        <v>0</v>
      </c>
      <c r="P32" s="639">
        <v>0</v>
      </c>
      <c r="Q32" s="640">
        <v>0</v>
      </c>
      <c r="R32" s="634">
        <v>0</v>
      </c>
    </row>
    <row r="33" spans="1:18" ht="14.25" hidden="1" x14ac:dyDescent="0.2">
      <c r="A33" s="637">
        <v>0.2</v>
      </c>
      <c r="B33" s="638">
        <v>0.19</v>
      </c>
      <c r="C33" s="631">
        <v>0.1</v>
      </c>
      <c r="D33" s="639">
        <f t="shared" ref="D33:E33" si="1">(D37-D32)/5*1+D32</f>
        <v>0.32799999999999996</v>
      </c>
      <c r="E33" s="640">
        <f t="shared" si="1"/>
        <v>0.316</v>
      </c>
      <c r="F33" s="634">
        <v>0.1</v>
      </c>
      <c r="G33" s="641">
        <f t="shared" ref="G33:H33" si="2">(G37-G32)/5*1+G32</f>
        <v>0.54800000000000004</v>
      </c>
      <c r="H33" s="642">
        <f t="shared" si="2"/>
        <v>0.5</v>
      </c>
      <c r="I33" s="631">
        <v>0.1</v>
      </c>
      <c r="J33" s="639">
        <f t="shared" ref="J33:K33" si="3">(J37-J32)/5*1+J32</f>
        <v>0.72599999999999998</v>
      </c>
      <c r="K33" s="640">
        <f t="shared" si="3"/>
        <v>0.72</v>
      </c>
      <c r="L33" s="634">
        <v>0.1</v>
      </c>
      <c r="M33" s="641">
        <f t="shared" ref="M33:N33" si="4">(M37-M32)/5*1+M32</f>
        <v>0.57599999999999996</v>
      </c>
      <c r="N33" s="642">
        <f t="shared" si="4"/>
        <v>0.56799999999999995</v>
      </c>
      <c r="O33" s="631">
        <v>0.1</v>
      </c>
      <c r="P33" s="639">
        <f t="shared" ref="P33:Q33" si="5">(P37-P32)/5*1+P32</f>
        <v>1.0880000000000001</v>
      </c>
      <c r="Q33" s="640">
        <f t="shared" si="5"/>
        <v>1.1119999999999999</v>
      </c>
      <c r="R33" s="634">
        <v>0.1</v>
      </c>
    </row>
    <row r="34" spans="1:18" ht="14.25" hidden="1" x14ac:dyDescent="0.2">
      <c r="A34" s="637">
        <v>0.4</v>
      </c>
      <c r="B34" s="638">
        <v>0.38</v>
      </c>
      <c r="C34" s="631">
        <v>0.2</v>
      </c>
      <c r="D34" s="639">
        <f t="shared" ref="D34:E34" si="6">(D37-D32)/5*2+D32</f>
        <v>0.65599999999999992</v>
      </c>
      <c r="E34" s="640">
        <f t="shared" si="6"/>
        <v>0.63200000000000001</v>
      </c>
      <c r="F34" s="634">
        <v>0.2</v>
      </c>
      <c r="G34" s="641">
        <f t="shared" ref="G34:H34" si="7">(G37-G32)/5*2+G32</f>
        <v>1.0960000000000001</v>
      </c>
      <c r="H34" s="642">
        <f t="shared" si="7"/>
        <v>1</v>
      </c>
      <c r="I34" s="631">
        <v>0.2</v>
      </c>
      <c r="J34" s="639">
        <f t="shared" ref="J34:K34" si="8">(J37-J32)/5*2+J32</f>
        <v>1.452</v>
      </c>
      <c r="K34" s="640">
        <f t="shared" si="8"/>
        <v>1.44</v>
      </c>
      <c r="L34" s="634">
        <v>0.2</v>
      </c>
      <c r="M34" s="641">
        <f t="shared" ref="M34:N34" si="9">(M37-M32)/5*2+M32</f>
        <v>1.1519999999999999</v>
      </c>
      <c r="N34" s="642">
        <f t="shared" si="9"/>
        <v>1.1359999999999999</v>
      </c>
      <c r="O34" s="631">
        <v>0.2</v>
      </c>
      <c r="P34" s="639">
        <f t="shared" ref="P34:Q34" si="10">(P37-P32)/5*2+P32</f>
        <v>2.1760000000000002</v>
      </c>
      <c r="Q34" s="640">
        <f t="shared" si="10"/>
        <v>2.2239999999999998</v>
      </c>
      <c r="R34" s="634">
        <v>0.2</v>
      </c>
    </row>
    <row r="35" spans="1:18" ht="14.25" hidden="1" x14ac:dyDescent="0.2">
      <c r="A35" s="637">
        <v>0.60000000000000009</v>
      </c>
      <c r="B35" s="638">
        <v>0.57000000000000006</v>
      </c>
      <c r="C35" s="631">
        <v>0.3</v>
      </c>
      <c r="D35" s="639">
        <f t="shared" ref="D35:E35" si="11">(D37-D32)/5*3+D32</f>
        <v>0.98399999999999987</v>
      </c>
      <c r="E35" s="640">
        <f t="shared" si="11"/>
        <v>0.94799999999999995</v>
      </c>
      <c r="F35" s="634">
        <v>0.3</v>
      </c>
      <c r="G35" s="641">
        <f t="shared" ref="G35:H35" si="12">(G37-G32)/5*3+G32</f>
        <v>1.6440000000000001</v>
      </c>
      <c r="H35" s="642">
        <f t="shared" si="12"/>
        <v>1.5</v>
      </c>
      <c r="I35" s="631">
        <v>0.3</v>
      </c>
      <c r="J35" s="639">
        <f t="shared" ref="J35:K35" si="13">(J37-J32)/5*3+J32</f>
        <v>2.1779999999999999</v>
      </c>
      <c r="K35" s="640">
        <f t="shared" si="13"/>
        <v>2.16</v>
      </c>
      <c r="L35" s="634">
        <v>0.3</v>
      </c>
      <c r="M35" s="641">
        <f t="shared" ref="M35:N35" si="14">(M37-M32)/5*3+M32</f>
        <v>1.7279999999999998</v>
      </c>
      <c r="N35" s="642">
        <f t="shared" si="14"/>
        <v>1.7039999999999997</v>
      </c>
      <c r="O35" s="631">
        <v>0.3</v>
      </c>
      <c r="P35" s="639">
        <f t="shared" ref="P35:Q35" si="15">(P37-P32)/5*3+P32</f>
        <v>3.2640000000000002</v>
      </c>
      <c r="Q35" s="640">
        <f t="shared" si="15"/>
        <v>3.3359999999999994</v>
      </c>
      <c r="R35" s="634">
        <v>0.3</v>
      </c>
    </row>
    <row r="36" spans="1:18" ht="14.25" hidden="1" x14ac:dyDescent="0.2">
      <c r="A36" s="637">
        <v>0.8</v>
      </c>
      <c r="B36" s="638">
        <v>0.76</v>
      </c>
      <c r="C36" s="631">
        <v>0.4</v>
      </c>
      <c r="D36" s="639">
        <f t="shared" ref="D36:E36" si="16">(D37-D32)/5*4+D32</f>
        <v>1.3119999999999998</v>
      </c>
      <c r="E36" s="640">
        <f t="shared" si="16"/>
        <v>1.264</v>
      </c>
      <c r="F36" s="634">
        <v>0.4</v>
      </c>
      <c r="G36" s="641">
        <f t="shared" ref="G36:H36" si="17">(G37-G32)/5*4+G32</f>
        <v>2.1920000000000002</v>
      </c>
      <c r="H36" s="642">
        <f t="shared" si="17"/>
        <v>2</v>
      </c>
      <c r="I36" s="631">
        <v>0.4</v>
      </c>
      <c r="J36" s="639">
        <f t="shared" ref="J36:K36" si="18">(J37-J32)/5*4+J32</f>
        <v>2.9039999999999999</v>
      </c>
      <c r="K36" s="640">
        <f t="shared" si="18"/>
        <v>2.88</v>
      </c>
      <c r="L36" s="634">
        <v>0.4</v>
      </c>
      <c r="M36" s="641">
        <f t="shared" ref="M36:N36" si="19">(M37-M32)/5*4+M32</f>
        <v>2.3039999999999998</v>
      </c>
      <c r="N36" s="642">
        <f t="shared" si="19"/>
        <v>2.2719999999999998</v>
      </c>
      <c r="O36" s="631">
        <v>0.4</v>
      </c>
      <c r="P36" s="639">
        <f t="shared" ref="P36:Q36" si="20">(P37-P32)/5*4+P32</f>
        <v>4.3520000000000003</v>
      </c>
      <c r="Q36" s="640">
        <f t="shared" si="20"/>
        <v>4.4479999999999995</v>
      </c>
      <c r="R36" s="634">
        <v>0.4</v>
      </c>
    </row>
    <row r="37" spans="1:18" ht="14.25" hidden="1" x14ac:dyDescent="0.2">
      <c r="A37" s="637">
        <v>1</v>
      </c>
      <c r="B37" s="638">
        <v>0.95</v>
      </c>
      <c r="C37" s="631">
        <v>0.5</v>
      </c>
      <c r="D37" s="639">
        <v>1.64</v>
      </c>
      <c r="E37" s="640">
        <v>1.58</v>
      </c>
      <c r="F37" s="634">
        <v>0.5</v>
      </c>
      <c r="G37" s="641">
        <v>2.74</v>
      </c>
      <c r="H37" s="642">
        <v>2.5</v>
      </c>
      <c r="I37" s="631">
        <v>0.5</v>
      </c>
      <c r="J37" s="639">
        <v>3.63</v>
      </c>
      <c r="K37" s="640">
        <v>3.6</v>
      </c>
      <c r="L37" s="634">
        <v>0.5</v>
      </c>
      <c r="M37" s="641">
        <v>2.88</v>
      </c>
      <c r="N37" s="642">
        <v>2.84</v>
      </c>
      <c r="O37" s="631">
        <v>0.5</v>
      </c>
      <c r="P37" s="643">
        <v>5.44</v>
      </c>
      <c r="Q37" s="640">
        <v>5.56</v>
      </c>
      <c r="R37" s="634">
        <v>0.5</v>
      </c>
    </row>
    <row r="38" spans="1:18" ht="14.25" hidden="1" x14ac:dyDescent="0.2">
      <c r="A38" s="637">
        <v>1.1240000000000001</v>
      </c>
      <c r="B38" s="638">
        <v>1.0580000000000001</v>
      </c>
      <c r="C38" s="631">
        <v>0.6</v>
      </c>
      <c r="D38" s="639">
        <f t="shared" ref="D38:E38" si="21">(D42-D37)/5*1+D37</f>
        <v>1.8839999999999999</v>
      </c>
      <c r="E38" s="640">
        <f t="shared" si="21"/>
        <v>1.786</v>
      </c>
      <c r="F38" s="634">
        <v>0.6</v>
      </c>
      <c r="G38" s="641">
        <f t="shared" ref="G38:H38" si="22">(G42-G37)/5*1+G37</f>
        <v>3.4026000000000001</v>
      </c>
      <c r="H38" s="642">
        <f t="shared" si="22"/>
        <v>2.9140000000000001</v>
      </c>
      <c r="I38" s="631">
        <v>0.6</v>
      </c>
      <c r="J38" s="639">
        <f t="shared" ref="J38:K38" si="23">(J42-J37)/5*1+J37</f>
        <v>4.3579999999999997</v>
      </c>
      <c r="K38" s="640">
        <f t="shared" si="23"/>
        <v>4.3120000000000003</v>
      </c>
      <c r="L38" s="634">
        <v>0.6</v>
      </c>
      <c r="M38" s="641">
        <f t="shared" ref="M38:N38" si="24">(M42-M37)/5*1+M37</f>
        <v>3.972</v>
      </c>
      <c r="N38" s="642">
        <f t="shared" si="24"/>
        <v>3.9359999999999999</v>
      </c>
      <c r="O38" s="631">
        <v>0.6</v>
      </c>
      <c r="P38" s="643">
        <f t="shared" ref="P38:Q38" si="25">(P42-P37)/5*1+P37</f>
        <v>6.75</v>
      </c>
      <c r="Q38" s="640">
        <f t="shared" si="25"/>
        <v>6.9159999999999995</v>
      </c>
      <c r="R38" s="634">
        <v>0.6</v>
      </c>
    </row>
    <row r="39" spans="1:18" ht="14.25" hidden="1" x14ac:dyDescent="0.2">
      <c r="A39" s="637">
        <v>1.248</v>
      </c>
      <c r="B39" s="638">
        <v>1.1659999999999999</v>
      </c>
      <c r="C39" s="631">
        <v>0.7</v>
      </c>
      <c r="D39" s="639">
        <f t="shared" ref="D39:E39" si="26">(D42-D37)/5*2+D37</f>
        <v>2.1280000000000001</v>
      </c>
      <c r="E39" s="640">
        <f t="shared" si="26"/>
        <v>1.992</v>
      </c>
      <c r="F39" s="634">
        <v>0.7</v>
      </c>
      <c r="G39" s="641">
        <f t="shared" ref="G39:H39" si="27">(G42-G37)/5*2+G37</f>
        <v>4.0651999999999999</v>
      </c>
      <c r="H39" s="642">
        <f t="shared" si="27"/>
        <v>3.3280000000000003</v>
      </c>
      <c r="I39" s="631">
        <v>0.7</v>
      </c>
      <c r="J39" s="643">
        <f t="shared" ref="J39:K39" si="28">(J42-J37)/5*2+J37</f>
        <v>5.0860000000000003</v>
      </c>
      <c r="K39" s="640">
        <f t="shared" si="28"/>
        <v>5.024</v>
      </c>
      <c r="L39" s="634">
        <v>0.7</v>
      </c>
      <c r="M39" s="644">
        <f t="shared" ref="M39:N39" si="29">(M42-M37)/5*2+M37</f>
        <v>5.0640000000000001</v>
      </c>
      <c r="N39" s="642">
        <f t="shared" si="29"/>
        <v>5.032</v>
      </c>
      <c r="O39" s="631">
        <v>0.7</v>
      </c>
      <c r="P39" s="643">
        <f t="shared" ref="P39:Q39" si="30">(P42-P37)/5*2+P37</f>
        <v>8.06</v>
      </c>
      <c r="Q39" s="640">
        <f t="shared" si="30"/>
        <v>8.2720000000000002</v>
      </c>
      <c r="R39" s="634">
        <v>0.7</v>
      </c>
    </row>
    <row r="40" spans="1:18" ht="14.25" hidden="1" x14ac:dyDescent="0.2">
      <c r="A40" s="637">
        <v>1.3720000000000001</v>
      </c>
      <c r="B40" s="638">
        <v>1.274</v>
      </c>
      <c r="C40" s="631">
        <v>0.8</v>
      </c>
      <c r="D40" s="639">
        <f t="shared" ref="D40:E40" si="31">(D42-D37)/5*3+D37</f>
        <v>2.3719999999999999</v>
      </c>
      <c r="E40" s="640">
        <f t="shared" si="31"/>
        <v>2.198</v>
      </c>
      <c r="F40" s="634">
        <v>0.8</v>
      </c>
      <c r="G40" s="641">
        <f t="shared" ref="G40:H40" si="32">(G42-G37)/5*3+G37</f>
        <v>4.7278000000000002</v>
      </c>
      <c r="H40" s="642">
        <f t="shared" si="32"/>
        <v>3.742</v>
      </c>
      <c r="I40" s="631">
        <v>0.8</v>
      </c>
      <c r="J40" s="643">
        <f t="shared" ref="J40:K40" si="33">(J42-J37)/5*3+J37</f>
        <v>5.8140000000000001</v>
      </c>
      <c r="K40" s="640">
        <f t="shared" si="33"/>
        <v>5.7360000000000007</v>
      </c>
      <c r="L40" s="634">
        <v>0.8</v>
      </c>
      <c r="M40" s="644">
        <f t="shared" ref="M40:N40" si="34">(M42-M37)/5*3+M37</f>
        <v>6.1560000000000006</v>
      </c>
      <c r="N40" s="642">
        <f t="shared" si="34"/>
        <v>6.1280000000000001</v>
      </c>
      <c r="O40" s="631">
        <v>0.8</v>
      </c>
      <c r="P40" s="643">
        <f t="shared" ref="P40:Q40" si="35">(P42-P37)/5*3+P37</f>
        <v>9.370000000000001</v>
      </c>
      <c r="Q40" s="640">
        <f t="shared" si="35"/>
        <v>9.6280000000000001</v>
      </c>
      <c r="R40" s="634">
        <v>0.8</v>
      </c>
    </row>
    <row r="41" spans="1:18" ht="14.25" hidden="1" x14ac:dyDescent="0.2">
      <c r="A41" s="637">
        <v>1.496</v>
      </c>
      <c r="B41" s="638">
        <v>1.3820000000000001</v>
      </c>
      <c r="C41" s="631">
        <v>0.9</v>
      </c>
      <c r="D41" s="639">
        <f t="shared" ref="D41:E41" si="36">(D42-D37)/5*4+D37</f>
        <v>2.6159999999999997</v>
      </c>
      <c r="E41" s="640">
        <f t="shared" si="36"/>
        <v>2.4039999999999999</v>
      </c>
      <c r="F41" s="634">
        <v>0.9</v>
      </c>
      <c r="G41" s="644">
        <f t="shared" ref="G41:H41" si="37">(G42-G37)/5*4+G37</f>
        <v>5.3903999999999996</v>
      </c>
      <c r="H41" s="642">
        <f t="shared" si="37"/>
        <v>4.1560000000000006</v>
      </c>
      <c r="I41" s="631">
        <v>0.9</v>
      </c>
      <c r="J41" s="643">
        <f t="shared" ref="J41:K41" si="38">(J42-J37)/5*4+J37</f>
        <v>6.5419999999999998</v>
      </c>
      <c r="K41" s="640">
        <f t="shared" si="38"/>
        <v>6.4480000000000004</v>
      </c>
      <c r="L41" s="634">
        <v>0.9</v>
      </c>
      <c r="M41" s="644">
        <f t="shared" ref="M41:N41" si="39">(M42-M37)/5*4+M37</f>
        <v>7.2480000000000002</v>
      </c>
      <c r="N41" s="642">
        <f t="shared" si="39"/>
        <v>7.2240000000000002</v>
      </c>
      <c r="O41" s="631">
        <v>0.9</v>
      </c>
      <c r="P41" s="643">
        <f t="shared" ref="P41:Q41" si="40">(P42-P37)/5*4+P37</f>
        <v>10.68</v>
      </c>
      <c r="Q41" s="640">
        <f t="shared" si="40"/>
        <v>10.984</v>
      </c>
      <c r="R41" s="634">
        <v>0.9</v>
      </c>
    </row>
    <row r="42" spans="1:18" ht="14.25" hidden="1" x14ac:dyDescent="0.2">
      <c r="A42" s="637">
        <v>1.62</v>
      </c>
      <c r="B42" s="638">
        <v>1.49</v>
      </c>
      <c r="C42" s="631">
        <v>1</v>
      </c>
      <c r="D42" s="639">
        <v>2.86</v>
      </c>
      <c r="E42" s="640">
        <v>2.61</v>
      </c>
      <c r="F42" s="634">
        <v>1</v>
      </c>
      <c r="G42" s="644">
        <v>6.0529999999999999</v>
      </c>
      <c r="H42" s="642">
        <v>4.57</v>
      </c>
      <c r="I42" s="631">
        <v>1</v>
      </c>
      <c r="J42" s="643">
        <v>7.27</v>
      </c>
      <c r="K42" s="640">
        <v>7.16</v>
      </c>
      <c r="L42" s="634">
        <v>1</v>
      </c>
      <c r="M42" s="644">
        <v>8.34</v>
      </c>
      <c r="N42" s="642">
        <v>8.32</v>
      </c>
      <c r="O42" s="631">
        <v>1</v>
      </c>
      <c r="P42" s="643">
        <v>11.99</v>
      </c>
      <c r="Q42" s="640">
        <v>12.34</v>
      </c>
      <c r="R42" s="634">
        <v>1</v>
      </c>
    </row>
    <row r="43" spans="1:18" ht="14.25" hidden="1" x14ac:dyDescent="0.2">
      <c r="A43" s="637">
        <v>1.7240000000000002</v>
      </c>
      <c r="B43" s="638">
        <v>1.5720000000000001</v>
      </c>
      <c r="C43" s="631">
        <v>1.1000000000000001</v>
      </c>
      <c r="D43" s="639">
        <f t="shared" ref="D43:E43" si="41">(D47-D42)/5*1+D42</f>
        <v>3.05</v>
      </c>
      <c r="E43" s="640">
        <f t="shared" si="41"/>
        <v>2.7839999999999998</v>
      </c>
      <c r="F43" s="634">
        <v>1.1000000000000001</v>
      </c>
      <c r="G43" s="644">
        <f t="shared" ref="G43:H43" si="42">(G47-G42)/5*1+G42</f>
        <v>7.0844000000000005</v>
      </c>
      <c r="H43" s="642">
        <f t="shared" si="42"/>
        <v>4.9460000000000006</v>
      </c>
      <c r="I43" s="631">
        <v>1.1000000000000001</v>
      </c>
      <c r="J43" s="643">
        <f t="shared" ref="J43:K43" si="43">(J47-J42)/5*1+J42</f>
        <v>8.0179999999999989</v>
      </c>
      <c r="K43" s="640">
        <f t="shared" si="43"/>
        <v>7.8220000000000001</v>
      </c>
      <c r="L43" s="634">
        <v>1.1000000000000001</v>
      </c>
      <c r="M43" s="644">
        <f t="shared" ref="M43:N43" si="44">(M47-M42)/5*1+M42</f>
        <v>9.4960000000000004</v>
      </c>
      <c r="N43" s="642">
        <f t="shared" si="44"/>
        <v>9.2759999999999998</v>
      </c>
      <c r="O43" s="631">
        <v>1.1000000000000001</v>
      </c>
      <c r="P43" s="643">
        <f t="shared" ref="P43:Q43" si="45">(P47-P42)/5*1+P42</f>
        <v>13.122</v>
      </c>
      <c r="Q43" s="640">
        <f t="shared" si="45"/>
        <v>13.39</v>
      </c>
      <c r="R43" s="634">
        <v>1.1000000000000001</v>
      </c>
    </row>
    <row r="44" spans="1:18" ht="14.25" hidden="1" x14ac:dyDescent="0.2">
      <c r="A44" s="637">
        <v>1.8280000000000001</v>
      </c>
      <c r="B44" s="638">
        <v>1.6539999999999999</v>
      </c>
      <c r="C44" s="631">
        <v>1.2</v>
      </c>
      <c r="D44" s="639">
        <f t="shared" ref="D44:E44" si="46">(D47-D42)/5*2+D42</f>
        <v>3.2399999999999998</v>
      </c>
      <c r="E44" s="640">
        <f t="shared" si="46"/>
        <v>2.9579999999999997</v>
      </c>
      <c r="F44" s="634">
        <v>1.2</v>
      </c>
      <c r="G44" s="644">
        <f t="shared" ref="G44:H44" si="47">(G47-G42)/5*2+G42</f>
        <v>8.1158000000000001</v>
      </c>
      <c r="H44" s="642">
        <f t="shared" si="47"/>
        <v>5.3220000000000001</v>
      </c>
      <c r="I44" s="631">
        <v>1.2</v>
      </c>
      <c r="J44" s="643">
        <f t="shared" ref="J44:K44" si="48">(J47-J42)/5*2+J42</f>
        <v>8.766</v>
      </c>
      <c r="K44" s="640">
        <f t="shared" si="48"/>
        <v>8.484</v>
      </c>
      <c r="L44" s="634">
        <v>1.2</v>
      </c>
      <c r="M44" s="644">
        <f t="shared" ref="M44:N44" si="49">(M47-M42)/5*2+M42</f>
        <v>10.651999999999999</v>
      </c>
      <c r="N44" s="642">
        <f t="shared" si="49"/>
        <v>10.231999999999999</v>
      </c>
      <c r="O44" s="631">
        <v>1.2</v>
      </c>
      <c r="P44" s="643">
        <f t="shared" ref="P44:Q44" si="50">(P47-P42)/5*2+P42</f>
        <v>14.254</v>
      </c>
      <c r="Q44" s="640">
        <f t="shared" si="50"/>
        <v>14.44</v>
      </c>
      <c r="R44" s="634">
        <v>1.2</v>
      </c>
    </row>
    <row r="45" spans="1:18" ht="14.25" hidden="1" x14ac:dyDescent="0.2">
      <c r="A45" s="637">
        <v>1.9320000000000002</v>
      </c>
      <c r="B45" s="638">
        <v>1.736</v>
      </c>
      <c r="C45" s="631">
        <v>1.3</v>
      </c>
      <c r="D45" s="639">
        <f t="shared" ref="D45:E45" si="51">(D47-D42)/5*3+D42</f>
        <v>3.4299999999999997</v>
      </c>
      <c r="E45" s="640">
        <f t="shared" si="51"/>
        <v>3.1319999999999997</v>
      </c>
      <c r="F45" s="634">
        <v>1.3</v>
      </c>
      <c r="G45" s="644">
        <f t="shared" ref="G45:H45" si="52">(G47-G42)/5*3+G42</f>
        <v>9.1471999999999998</v>
      </c>
      <c r="H45" s="642">
        <f t="shared" si="52"/>
        <v>5.6980000000000004</v>
      </c>
      <c r="I45" s="631">
        <v>1.3</v>
      </c>
      <c r="J45" s="643">
        <f t="shared" ref="J45:K45" si="53">(J47-J42)/5*3+J42</f>
        <v>9.5139999999999993</v>
      </c>
      <c r="K45" s="640">
        <f t="shared" si="53"/>
        <v>9.1460000000000008</v>
      </c>
      <c r="L45" s="634">
        <v>1.3</v>
      </c>
      <c r="M45" s="644">
        <f t="shared" ref="M45:N45" si="54">(M47-M42)/5*3+M42</f>
        <v>11.808</v>
      </c>
      <c r="N45" s="642">
        <f t="shared" si="54"/>
        <v>11.187999999999999</v>
      </c>
      <c r="O45" s="631">
        <v>1.3</v>
      </c>
      <c r="P45" s="643">
        <f t="shared" ref="P45:Q45" si="55">(P47-P42)/5*3+P42</f>
        <v>15.385999999999999</v>
      </c>
      <c r="Q45" s="640">
        <f t="shared" si="55"/>
        <v>15.49</v>
      </c>
      <c r="R45" s="634">
        <v>1.3</v>
      </c>
    </row>
    <row r="46" spans="1:18" ht="14.25" hidden="1" x14ac:dyDescent="0.2">
      <c r="A46" s="637">
        <v>2.036</v>
      </c>
      <c r="B46" s="638">
        <v>1.8180000000000001</v>
      </c>
      <c r="C46" s="631">
        <v>1.4</v>
      </c>
      <c r="D46" s="639">
        <f t="shared" ref="D46:E46" si="56">(D47-D42)/5*4+D42</f>
        <v>3.62</v>
      </c>
      <c r="E46" s="640">
        <f t="shared" si="56"/>
        <v>3.306</v>
      </c>
      <c r="F46" s="634">
        <v>1.4</v>
      </c>
      <c r="G46" s="644">
        <f t="shared" ref="G46:H46" si="57">(G47-G42)/5*4+G42</f>
        <v>10.178599999999999</v>
      </c>
      <c r="H46" s="642">
        <f t="shared" si="57"/>
        <v>6.0739999999999998</v>
      </c>
      <c r="I46" s="631">
        <v>1.4</v>
      </c>
      <c r="J46" s="643">
        <f t="shared" ref="J46:K46" si="58">(J47-J42)/5*4+J42</f>
        <v>10.262</v>
      </c>
      <c r="K46" s="640">
        <f t="shared" si="58"/>
        <v>9.8079999999999998</v>
      </c>
      <c r="L46" s="634">
        <v>1.4</v>
      </c>
      <c r="M46" s="644">
        <f t="shared" ref="M46:N46" si="59">(M47-M42)/5*4+M42</f>
        <v>12.963999999999999</v>
      </c>
      <c r="N46" s="642">
        <f t="shared" si="59"/>
        <v>12.144</v>
      </c>
      <c r="O46" s="631">
        <v>1.4</v>
      </c>
      <c r="P46" s="643">
        <f t="shared" ref="P46:Q46" si="60">(P47-P42)/5*4+P42</f>
        <v>16.518000000000001</v>
      </c>
      <c r="Q46" s="640">
        <f t="shared" si="60"/>
        <v>16.54</v>
      </c>
      <c r="R46" s="634">
        <v>1.4</v>
      </c>
    </row>
    <row r="47" spans="1:18" ht="14.25" hidden="1" x14ac:dyDescent="0.2">
      <c r="A47" s="637">
        <v>2.14</v>
      </c>
      <c r="B47" s="638">
        <v>1.9</v>
      </c>
      <c r="C47" s="631">
        <v>1.5</v>
      </c>
      <c r="D47" s="639">
        <v>3.81</v>
      </c>
      <c r="E47" s="640">
        <v>3.48</v>
      </c>
      <c r="F47" s="634">
        <v>1.5</v>
      </c>
      <c r="G47" s="644">
        <v>11.21</v>
      </c>
      <c r="H47" s="642">
        <v>6.45</v>
      </c>
      <c r="I47" s="631">
        <v>1.5</v>
      </c>
      <c r="J47" s="643">
        <v>11.01</v>
      </c>
      <c r="K47" s="640">
        <v>10.47</v>
      </c>
      <c r="L47" s="634">
        <v>1.5</v>
      </c>
      <c r="M47" s="644">
        <v>14.12</v>
      </c>
      <c r="N47" s="642">
        <v>13.1</v>
      </c>
      <c r="O47" s="631">
        <v>1.5</v>
      </c>
      <c r="P47" s="643">
        <v>17.649999999999999</v>
      </c>
      <c r="Q47" s="640">
        <v>17.59</v>
      </c>
      <c r="R47" s="634">
        <v>1.5</v>
      </c>
    </row>
    <row r="48" spans="1:18" ht="14.25" hidden="1" x14ac:dyDescent="0.2">
      <c r="A48" s="637">
        <v>2.242</v>
      </c>
      <c r="B48" s="638">
        <v>1.974</v>
      </c>
      <c r="C48" s="631">
        <v>1.6</v>
      </c>
      <c r="D48" s="639">
        <f t="shared" ref="D48:E48" si="61">(D52-D47)/5*1+D47</f>
        <v>4.0019999999999998</v>
      </c>
      <c r="E48" s="640">
        <f t="shared" si="61"/>
        <v>3.6219999999999999</v>
      </c>
      <c r="F48" s="634">
        <v>1.6</v>
      </c>
      <c r="G48" s="644">
        <f t="shared" ref="G48:H48" si="62">(G52-G47)/5*1+G47</f>
        <v>12.142000000000001</v>
      </c>
      <c r="H48" s="642">
        <f t="shared" si="62"/>
        <v>6.6820000000000004</v>
      </c>
      <c r="I48" s="631">
        <v>1.6</v>
      </c>
      <c r="J48" s="643">
        <f t="shared" ref="J48:K48" si="63">(J52-J47)/5*1+J47</f>
        <v>11.54</v>
      </c>
      <c r="K48" s="640">
        <f t="shared" si="63"/>
        <v>10.968</v>
      </c>
      <c r="L48" s="634">
        <v>1.6</v>
      </c>
      <c r="M48" s="644">
        <f t="shared" ref="M48:N48" si="64">(M52-M47)/5*1+M47</f>
        <v>15.03</v>
      </c>
      <c r="N48" s="642">
        <f t="shared" si="64"/>
        <v>13.736000000000001</v>
      </c>
      <c r="O48" s="631">
        <v>1.6</v>
      </c>
      <c r="P48" s="643">
        <f t="shared" ref="P48:Q48" si="65">(P52-P47)/5*1+P47</f>
        <v>18.667999999999999</v>
      </c>
      <c r="Q48" s="640">
        <f t="shared" si="65"/>
        <v>18.498000000000001</v>
      </c>
      <c r="R48" s="634">
        <v>1.6</v>
      </c>
    </row>
    <row r="49" spans="1:18" ht="14.25" hidden="1" x14ac:dyDescent="0.2">
      <c r="A49" s="637">
        <v>2.3439999999999999</v>
      </c>
      <c r="B49" s="638">
        <v>2.048</v>
      </c>
      <c r="C49" s="631">
        <v>1.7</v>
      </c>
      <c r="D49" s="639">
        <f t="shared" ref="D49:E49" si="66">(D52-D47)/5*2+D47</f>
        <v>4.194</v>
      </c>
      <c r="E49" s="640">
        <f t="shared" si="66"/>
        <v>3.7640000000000002</v>
      </c>
      <c r="F49" s="634">
        <v>1.7</v>
      </c>
      <c r="G49" s="644">
        <f t="shared" ref="G49:H49" si="67">(G52-G47)/5*2+G47</f>
        <v>13.074</v>
      </c>
      <c r="H49" s="642">
        <f t="shared" si="67"/>
        <v>6.9140000000000006</v>
      </c>
      <c r="I49" s="631">
        <v>1.7</v>
      </c>
      <c r="J49" s="643">
        <f t="shared" ref="J49:K49" si="68">(J52-J47)/5*2+J47</f>
        <v>12.07</v>
      </c>
      <c r="K49" s="640">
        <f t="shared" si="68"/>
        <v>11.466000000000001</v>
      </c>
      <c r="L49" s="634">
        <v>1.7</v>
      </c>
      <c r="M49" s="644">
        <f t="shared" ref="M49:N49" si="69">(M52-M47)/5*2+M47</f>
        <v>15.94</v>
      </c>
      <c r="N49" s="642">
        <f t="shared" si="69"/>
        <v>14.372</v>
      </c>
      <c r="O49" s="631">
        <v>1.7</v>
      </c>
      <c r="P49" s="643">
        <f t="shared" ref="P49:Q49" si="70">(P52-P47)/5*2+P47</f>
        <v>19.686</v>
      </c>
      <c r="Q49" s="640">
        <f t="shared" si="70"/>
        <v>19.405999999999999</v>
      </c>
      <c r="R49" s="634">
        <v>1.7</v>
      </c>
    </row>
    <row r="50" spans="1:18" ht="14.25" hidden="1" x14ac:dyDescent="0.2">
      <c r="A50" s="637">
        <v>2.4459999999999997</v>
      </c>
      <c r="B50" s="638">
        <v>2.1219999999999999</v>
      </c>
      <c r="C50" s="631">
        <v>1.8</v>
      </c>
      <c r="D50" s="639">
        <f t="shared" ref="D50:E50" si="71">(D52-D47)/5*3+D47</f>
        <v>4.3859999999999992</v>
      </c>
      <c r="E50" s="640">
        <f t="shared" si="71"/>
        <v>3.9060000000000001</v>
      </c>
      <c r="F50" s="634">
        <v>1.8</v>
      </c>
      <c r="G50" s="644">
        <f t="shared" ref="G50:H50" si="72">(G52-G47)/5*3+G47</f>
        <v>14.006</v>
      </c>
      <c r="H50" s="642">
        <f t="shared" si="72"/>
        <v>7.1460000000000008</v>
      </c>
      <c r="I50" s="631">
        <v>1.8</v>
      </c>
      <c r="J50" s="643">
        <f t="shared" ref="J50:K50" si="73">(J52-J47)/5*3+J47</f>
        <v>12.6</v>
      </c>
      <c r="K50" s="640">
        <f t="shared" si="73"/>
        <v>11.964</v>
      </c>
      <c r="L50" s="634">
        <v>1.8</v>
      </c>
      <c r="M50" s="644">
        <f t="shared" ref="M50:N50" si="74">(M52-M47)/5*3+M47</f>
        <v>16.850000000000001</v>
      </c>
      <c r="N50" s="642">
        <f t="shared" si="74"/>
        <v>15.008000000000001</v>
      </c>
      <c r="O50" s="631">
        <v>1.8</v>
      </c>
      <c r="P50" s="643">
        <f t="shared" ref="P50:Q50" si="75">(P52-P47)/5*3+P47</f>
        <v>20.704000000000001</v>
      </c>
      <c r="Q50" s="640">
        <f t="shared" si="75"/>
        <v>20.314</v>
      </c>
      <c r="R50" s="634">
        <v>1.8</v>
      </c>
    </row>
    <row r="51" spans="1:18" ht="14.25" hidden="1" x14ac:dyDescent="0.2">
      <c r="A51" s="637">
        <v>2.548</v>
      </c>
      <c r="B51" s="638">
        <v>2.1960000000000002</v>
      </c>
      <c r="C51" s="631">
        <v>1.9</v>
      </c>
      <c r="D51" s="639">
        <f t="shared" ref="D51:E51" si="76">(D52-D47)/5*4+D47</f>
        <v>4.5779999999999994</v>
      </c>
      <c r="E51" s="640">
        <f t="shared" si="76"/>
        <v>4.048</v>
      </c>
      <c r="F51" s="634">
        <v>1.9</v>
      </c>
      <c r="G51" s="644">
        <f t="shared" ref="G51:H51" si="77">(G52-G47)/5*4+G47</f>
        <v>14.937999999999999</v>
      </c>
      <c r="H51" s="642">
        <f t="shared" si="77"/>
        <v>7.3780000000000001</v>
      </c>
      <c r="I51" s="631">
        <v>1.9</v>
      </c>
      <c r="J51" s="643">
        <f t="shared" ref="J51:K51" si="78">(J52-J47)/5*4+J47</f>
        <v>13.129999999999999</v>
      </c>
      <c r="K51" s="640">
        <f t="shared" si="78"/>
        <v>12.462000000000002</v>
      </c>
      <c r="L51" s="634">
        <v>1.9</v>
      </c>
      <c r="M51" s="644">
        <f t="shared" ref="M51:N51" si="79">(M52-M47)/5*4+M47</f>
        <v>17.760000000000002</v>
      </c>
      <c r="N51" s="642">
        <f t="shared" si="79"/>
        <v>15.644000000000002</v>
      </c>
      <c r="O51" s="631">
        <v>1.9</v>
      </c>
      <c r="P51" s="643">
        <f t="shared" ref="P51:Q51" si="80">(P52-P47)/5*4+P47</f>
        <v>21.721999999999998</v>
      </c>
      <c r="Q51" s="640">
        <f t="shared" si="80"/>
        <v>21.221999999999998</v>
      </c>
      <c r="R51" s="634">
        <v>1.9</v>
      </c>
    </row>
    <row r="52" spans="1:18" ht="14.25" hidden="1" x14ac:dyDescent="0.2">
      <c r="A52" s="637">
        <v>2.65</v>
      </c>
      <c r="B52" s="638">
        <v>2.27</v>
      </c>
      <c r="C52" s="631">
        <v>2</v>
      </c>
      <c r="D52" s="639">
        <v>4.7699999999999996</v>
      </c>
      <c r="E52" s="640">
        <v>4.1900000000000004</v>
      </c>
      <c r="F52" s="634">
        <v>2</v>
      </c>
      <c r="G52" s="644">
        <v>15.87</v>
      </c>
      <c r="H52" s="642">
        <v>7.61</v>
      </c>
      <c r="I52" s="631">
        <v>2</v>
      </c>
      <c r="J52" s="643">
        <v>13.66</v>
      </c>
      <c r="K52" s="640">
        <v>12.96</v>
      </c>
      <c r="L52" s="634">
        <v>2</v>
      </c>
      <c r="M52" s="644">
        <v>18.670000000000002</v>
      </c>
      <c r="N52" s="642">
        <v>16.28</v>
      </c>
      <c r="O52" s="631">
        <v>2</v>
      </c>
      <c r="P52" s="643">
        <v>22.74</v>
      </c>
      <c r="Q52" s="640">
        <v>22.13</v>
      </c>
      <c r="R52" s="634">
        <v>2</v>
      </c>
    </row>
    <row r="53" spans="1:18" ht="14.25" hidden="1" x14ac:dyDescent="0.2">
      <c r="A53" s="637">
        <v>2.698</v>
      </c>
      <c r="B53" s="638">
        <v>2.3159999999999998</v>
      </c>
      <c r="C53" s="631">
        <v>2.1</v>
      </c>
      <c r="D53" s="639">
        <f t="shared" ref="D53:E53" si="81">(D57-D52)/5*1+D52</f>
        <v>4.92</v>
      </c>
      <c r="E53" s="640">
        <f t="shared" si="81"/>
        <v>4.3240000000000007</v>
      </c>
      <c r="F53" s="634">
        <v>2.1</v>
      </c>
      <c r="G53" s="644">
        <f t="shared" ref="G53:H53" si="82">(G57-G52)/5*1+G52</f>
        <v>16.838000000000001</v>
      </c>
      <c r="H53" s="642">
        <f t="shared" si="82"/>
        <v>7.8280000000000003</v>
      </c>
      <c r="I53" s="631">
        <v>2.1</v>
      </c>
      <c r="J53" s="643">
        <f t="shared" ref="J53:K53" si="83">(J57-J52)/5*1+J52</f>
        <v>14.132</v>
      </c>
      <c r="K53" s="640">
        <f t="shared" si="83"/>
        <v>13.416</v>
      </c>
      <c r="L53" s="634">
        <v>2.1</v>
      </c>
      <c r="M53" s="644">
        <f t="shared" ref="M53:N53" si="84">(M57-M52)/5*1+M52</f>
        <v>19.542000000000002</v>
      </c>
      <c r="N53" s="642">
        <f t="shared" si="84"/>
        <v>16.87</v>
      </c>
      <c r="O53" s="631">
        <v>2.1</v>
      </c>
      <c r="P53" s="643">
        <f t="shared" ref="P53:Q53" si="85">(P57-P52)/5*1+P52</f>
        <v>23.765999999999998</v>
      </c>
      <c r="Q53" s="640">
        <f t="shared" si="85"/>
        <v>22.834</v>
      </c>
      <c r="R53" s="634">
        <v>2.1</v>
      </c>
    </row>
    <row r="54" spans="1:18" ht="14.25" hidden="1" x14ac:dyDescent="0.2">
      <c r="A54" s="637">
        <v>2.746</v>
      </c>
      <c r="B54" s="638">
        <v>2.3620000000000001</v>
      </c>
      <c r="C54" s="631">
        <v>2.2000000000000002</v>
      </c>
      <c r="D54" s="643">
        <f t="shared" ref="D54:E54" si="86">(D57-D52)/5*2+D52</f>
        <v>5.0699999999999994</v>
      </c>
      <c r="E54" s="640">
        <f t="shared" si="86"/>
        <v>4.4580000000000002</v>
      </c>
      <c r="F54" s="634">
        <v>2.2000000000000002</v>
      </c>
      <c r="G54" s="644">
        <f t="shared" ref="G54:H54" si="87">(G57-G52)/5*2+G52</f>
        <v>17.806000000000001</v>
      </c>
      <c r="H54" s="642">
        <f t="shared" si="87"/>
        <v>8.0459999999999994</v>
      </c>
      <c r="I54" s="631">
        <v>2.2000000000000002</v>
      </c>
      <c r="J54" s="643">
        <f t="shared" ref="J54:K54" si="88">(J57-J52)/5*2+J52</f>
        <v>14.603999999999999</v>
      </c>
      <c r="K54" s="640">
        <f t="shared" si="88"/>
        <v>13.872</v>
      </c>
      <c r="L54" s="634">
        <v>2.2000000000000002</v>
      </c>
      <c r="M54" s="644">
        <f t="shared" ref="M54:N54" si="89">(M57-M52)/5*2+M52</f>
        <v>20.414000000000001</v>
      </c>
      <c r="N54" s="642">
        <f t="shared" si="89"/>
        <v>17.46</v>
      </c>
      <c r="O54" s="631">
        <v>2.2000000000000002</v>
      </c>
      <c r="P54" s="643">
        <f t="shared" ref="P54:Q54" si="90">(P57-P52)/5*2+P52</f>
        <v>24.791999999999998</v>
      </c>
      <c r="Q54" s="640">
        <f t="shared" si="90"/>
        <v>23.538</v>
      </c>
      <c r="R54" s="634">
        <v>2.2000000000000002</v>
      </c>
    </row>
    <row r="55" spans="1:18" ht="14.25" hidden="1" x14ac:dyDescent="0.2">
      <c r="A55" s="637">
        <v>2.794</v>
      </c>
      <c r="B55" s="638">
        <v>2.4079999999999999</v>
      </c>
      <c r="C55" s="631">
        <v>2.2999999999999998</v>
      </c>
      <c r="D55" s="643">
        <f t="shared" ref="D55:E55" si="91">(D57-D52)/5*3+D52</f>
        <v>5.22</v>
      </c>
      <c r="E55" s="640">
        <f t="shared" si="91"/>
        <v>4.5920000000000005</v>
      </c>
      <c r="F55" s="634">
        <v>2.2999999999999998</v>
      </c>
      <c r="G55" s="644">
        <f t="shared" ref="G55:H55" si="92">(G57-G52)/5*3+G52</f>
        <v>18.774000000000001</v>
      </c>
      <c r="H55" s="642">
        <f t="shared" si="92"/>
        <v>8.2639999999999993</v>
      </c>
      <c r="I55" s="631">
        <v>2.2999999999999998</v>
      </c>
      <c r="J55" s="643">
        <f t="shared" ref="J55:K55" si="93">(J57-J52)/5*3+J52</f>
        <v>15.076000000000001</v>
      </c>
      <c r="K55" s="640">
        <f t="shared" si="93"/>
        <v>14.327999999999999</v>
      </c>
      <c r="L55" s="634">
        <v>2.2999999999999998</v>
      </c>
      <c r="M55" s="644">
        <f t="shared" ref="M55:N55" si="94">(M57-M52)/5*3+M52</f>
        <v>21.286000000000001</v>
      </c>
      <c r="N55" s="642">
        <f t="shared" si="94"/>
        <v>18.05</v>
      </c>
      <c r="O55" s="631">
        <v>2.2999999999999998</v>
      </c>
      <c r="P55" s="643">
        <f t="shared" ref="P55:Q55" si="95">(P57-P52)/5*3+P52</f>
        <v>25.817999999999998</v>
      </c>
      <c r="Q55" s="640">
        <f t="shared" si="95"/>
        <v>24.241999999999997</v>
      </c>
      <c r="R55" s="634">
        <v>2.2999999999999998</v>
      </c>
    </row>
    <row r="56" spans="1:18" ht="14.25" hidden="1" x14ac:dyDescent="0.2">
      <c r="A56" s="637">
        <v>2.8420000000000001</v>
      </c>
      <c r="B56" s="638">
        <v>2.4540000000000002</v>
      </c>
      <c r="C56" s="631">
        <v>2.4</v>
      </c>
      <c r="D56" s="643">
        <f t="shared" ref="D56:E56" si="96">(D57-D52)/5*4+D52</f>
        <v>5.3699999999999992</v>
      </c>
      <c r="E56" s="640">
        <f t="shared" si="96"/>
        <v>4.726</v>
      </c>
      <c r="F56" s="634">
        <v>2.4</v>
      </c>
      <c r="G56" s="644">
        <f t="shared" ref="G56:H56" si="97">(G57-G52)/5*4+G52</f>
        <v>19.742000000000001</v>
      </c>
      <c r="H56" s="642">
        <f t="shared" si="97"/>
        <v>8.4819999999999993</v>
      </c>
      <c r="I56" s="631">
        <v>2.4</v>
      </c>
      <c r="J56" s="643">
        <f t="shared" ref="J56:K56" si="98">(J57-J52)/5*4+J52</f>
        <v>15.548</v>
      </c>
      <c r="K56" s="640">
        <f t="shared" si="98"/>
        <v>14.784000000000001</v>
      </c>
      <c r="L56" s="634">
        <v>2.4</v>
      </c>
      <c r="M56" s="644">
        <f t="shared" ref="M56:N56" si="99">(M57-M52)/5*4+M52</f>
        <v>22.158000000000001</v>
      </c>
      <c r="N56" s="642">
        <f t="shared" si="99"/>
        <v>18.64</v>
      </c>
      <c r="O56" s="631">
        <v>2.4</v>
      </c>
      <c r="P56" s="643">
        <f t="shared" ref="P56:Q56" si="100">(P57-P52)/5*4+P52</f>
        <v>26.844000000000001</v>
      </c>
      <c r="Q56" s="640">
        <f t="shared" si="100"/>
        <v>24.945999999999998</v>
      </c>
      <c r="R56" s="634">
        <v>2.4</v>
      </c>
    </row>
    <row r="57" spans="1:18" ht="14.25" hidden="1" x14ac:dyDescent="0.2">
      <c r="A57" s="637">
        <v>2.89</v>
      </c>
      <c r="B57" s="638">
        <v>2.5</v>
      </c>
      <c r="C57" s="631">
        <v>2.5</v>
      </c>
      <c r="D57" s="643">
        <v>5.52</v>
      </c>
      <c r="E57" s="640">
        <v>4.8600000000000003</v>
      </c>
      <c r="F57" s="634">
        <v>2.5</v>
      </c>
      <c r="G57" s="644">
        <v>20.71</v>
      </c>
      <c r="H57" s="642">
        <v>8.6999999999999993</v>
      </c>
      <c r="I57" s="631">
        <v>2.5</v>
      </c>
      <c r="J57" s="643">
        <v>16.02</v>
      </c>
      <c r="K57" s="640">
        <v>15.24</v>
      </c>
      <c r="L57" s="634">
        <v>2.5</v>
      </c>
      <c r="M57" s="644">
        <v>23.03</v>
      </c>
      <c r="N57" s="642">
        <v>19.23</v>
      </c>
      <c r="O57" s="631">
        <v>2.5</v>
      </c>
      <c r="P57" s="643">
        <v>27.87</v>
      </c>
      <c r="Q57" s="640">
        <v>25.65</v>
      </c>
      <c r="R57" s="634">
        <v>2.5</v>
      </c>
    </row>
    <row r="58" spans="1:18" ht="14.25" hidden="1" x14ac:dyDescent="0.2">
      <c r="A58" s="637">
        <v>3.1160000000000001</v>
      </c>
      <c r="B58" s="638">
        <v>2.5779999999999998</v>
      </c>
      <c r="C58" s="631">
        <v>2.6</v>
      </c>
      <c r="D58" s="643">
        <f t="shared" ref="D58:E58" si="101">(D62-D57)/5*1+D57</f>
        <v>5.7159999999999993</v>
      </c>
      <c r="E58" s="640">
        <f t="shared" si="101"/>
        <v>4.9860000000000007</v>
      </c>
      <c r="F58" s="634">
        <v>2.6</v>
      </c>
      <c r="G58" s="644">
        <f t="shared" ref="G58:H58" si="102">(G62-G57)/5*1+G57</f>
        <v>21.565999999999999</v>
      </c>
      <c r="H58" s="642">
        <f t="shared" si="102"/>
        <v>8.84</v>
      </c>
      <c r="I58" s="631">
        <v>2.6</v>
      </c>
      <c r="J58" s="643">
        <f t="shared" ref="J58:K58" si="103">(J62-J57)/5*1+J57</f>
        <v>16.457999999999998</v>
      </c>
      <c r="K58" s="640">
        <f t="shared" si="103"/>
        <v>15.646000000000001</v>
      </c>
      <c r="L58" s="634">
        <v>2.6</v>
      </c>
      <c r="M58" s="644">
        <f t="shared" ref="M58:N58" si="104">(M62-M57)/5*1+M57</f>
        <v>23.812000000000001</v>
      </c>
      <c r="N58" s="642">
        <f t="shared" si="104"/>
        <v>19.722000000000001</v>
      </c>
      <c r="O58" s="631">
        <v>2.6</v>
      </c>
      <c r="P58" s="643">
        <f t="shared" ref="P58:Q58" si="105">(P62-P57)/5*1+P57</f>
        <v>28.76</v>
      </c>
      <c r="Q58" s="640">
        <f t="shared" si="105"/>
        <v>26.411999999999999</v>
      </c>
      <c r="R58" s="634">
        <v>2.6</v>
      </c>
    </row>
    <row r="59" spans="1:18" ht="14.25" hidden="1" x14ac:dyDescent="0.2">
      <c r="A59" s="637">
        <v>3.3420000000000001</v>
      </c>
      <c r="B59" s="638">
        <v>2.6560000000000001</v>
      </c>
      <c r="C59" s="631">
        <v>2.7</v>
      </c>
      <c r="D59" s="643">
        <f t="shared" ref="D59:E59" si="106">(D62-D57)/5*2+D57</f>
        <v>5.9119999999999999</v>
      </c>
      <c r="E59" s="640">
        <f t="shared" si="106"/>
        <v>5.1120000000000001</v>
      </c>
      <c r="F59" s="634">
        <v>2.7</v>
      </c>
      <c r="G59" s="644">
        <f t="shared" ref="G59:H59" si="107">(G62-G57)/5*2+G57</f>
        <v>22.422000000000001</v>
      </c>
      <c r="H59" s="642">
        <f t="shared" si="107"/>
        <v>8.98</v>
      </c>
      <c r="I59" s="631">
        <v>2.7</v>
      </c>
      <c r="J59" s="643">
        <f t="shared" ref="J59:K59" si="108">(J62-J57)/5*2+J57</f>
        <v>16.896000000000001</v>
      </c>
      <c r="K59" s="640">
        <f t="shared" si="108"/>
        <v>16.052</v>
      </c>
      <c r="L59" s="634">
        <v>2.7</v>
      </c>
      <c r="M59" s="644">
        <f t="shared" ref="M59:N59" si="109">(M62-M57)/5*2+M57</f>
        <v>24.594000000000001</v>
      </c>
      <c r="N59" s="642">
        <f t="shared" si="109"/>
        <v>20.214000000000002</v>
      </c>
      <c r="O59" s="631">
        <v>2.7</v>
      </c>
      <c r="P59" s="643">
        <f t="shared" ref="P59:Q59" si="110">(P62-P57)/5*2+P57</f>
        <v>29.650000000000002</v>
      </c>
      <c r="Q59" s="640">
        <f t="shared" si="110"/>
        <v>27.173999999999999</v>
      </c>
      <c r="R59" s="634">
        <v>2.7</v>
      </c>
    </row>
    <row r="60" spans="1:18" ht="14.25" hidden="1" x14ac:dyDescent="0.2">
      <c r="A60" s="637">
        <v>3.5679999999999996</v>
      </c>
      <c r="B60" s="638">
        <v>2.734</v>
      </c>
      <c r="C60" s="631">
        <v>2.8</v>
      </c>
      <c r="D60" s="643">
        <f t="shared" ref="D60:E60" si="111">(D62-D57)/5*3+D57</f>
        <v>6.1079999999999997</v>
      </c>
      <c r="E60" s="640">
        <f t="shared" si="111"/>
        <v>5.2380000000000004</v>
      </c>
      <c r="F60" s="634">
        <v>2.8</v>
      </c>
      <c r="G60" s="644">
        <f t="shared" ref="G60:H60" si="112">(G62-G57)/5*3+G57</f>
        <v>23.277999999999999</v>
      </c>
      <c r="H60" s="642">
        <f t="shared" si="112"/>
        <v>9.1199999999999992</v>
      </c>
      <c r="I60" s="631">
        <v>2.8</v>
      </c>
      <c r="J60" s="643">
        <f t="shared" ref="J60:K60" si="113">(J62-J57)/5*3+J57</f>
        <v>17.334</v>
      </c>
      <c r="K60" s="640">
        <f t="shared" si="113"/>
        <v>16.457999999999998</v>
      </c>
      <c r="L60" s="634">
        <v>2.8</v>
      </c>
      <c r="M60" s="644">
        <f t="shared" ref="M60:N60" si="114">(M62-M57)/5*3+M57</f>
        <v>25.376000000000001</v>
      </c>
      <c r="N60" s="642">
        <f t="shared" si="114"/>
        <v>20.706</v>
      </c>
      <c r="O60" s="631">
        <v>2.8</v>
      </c>
      <c r="P60" s="643">
        <f t="shared" ref="P60:Q60" si="115">(P62-P57)/5*3+P57</f>
        <v>30.54</v>
      </c>
      <c r="Q60" s="640">
        <f t="shared" si="115"/>
        <v>27.936</v>
      </c>
      <c r="R60" s="634">
        <v>2.8</v>
      </c>
    </row>
    <row r="61" spans="1:18" ht="14.25" hidden="1" x14ac:dyDescent="0.2">
      <c r="A61" s="637">
        <v>3.7939999999999996</v>
      </c>
      <c r="B61" s="638">
        <v>2.8120000000000003</v>
      </c>
      <c r="C61" s="631">
        <v>2.9</v>
      </c>
      <c r="D61" s="643">
        <f t="shared" ref="D61:E61" si="116">(D62-D57)/5*4+D57</f>
        <v>6.3040000000000003</v>
      </c>
      <c r="E61" s="640">
        <f t="shared" si="116"/>
        <v>5.3639999999999999</v>
      </c>
      <c r="F61" s="634">
        <v>2.9</v>
      </c>
      <c r="G61" s="644">
        <f t="shared" ref="G61:H61" si="117">(G62-G57)/5*4+G57</f>
        <v>24.134</v>
      </c>
      <c r="H61" s="642">
        <f t="shared" si="117"/>
        <v>9.26</v>
      </c>
      <c r="I61" s="631">
        <v>2.9</v>
      </c>
      <c r="J61" s="643">
        <f t="shared" ref="J61:K61" si="118">(J62-J57)/5*4+J57</f>
        <v>17.772000000000002</v>
      </c>
      <c r="K61" s="640">
        <f t="shared" si="118"/>
        <v>16.864000000000001</v>
      </c>
      <c r="L61" s="634">
        <v>2.9</v>
      </c>
      <c r="M61" s="644">
        <f t="shared" ref="M61:N61" si="119">(M62-M57)/5*4+M57</f>
        <v>26.158000000000001</v>
      </c>
      <c r="N61" s="642">
        <f t="shared" si="119"/>
        <v>21.198</v>
      </c>
      <c r="O61" s="631">
        <v>2.9</v>
      </c>
      <c r="P61" s="643">
        <f t="shared" ref="P61:Q61" si="120">(P62-P57)/5*4+P57</f>
        <v>31.43</v>
      </c>
      <c r="Q61" s="640">
        <f t="shared" si="120"/>
        <v>28.698</v>
      </c>
      <c r="R61" s="634">
        <v>2.9</v>
      </c>
    </row>
    <row r="62" spans="1:18" ht="14.25" hidden="1" x14ac:dyDescent="0.2">
      <c r="A62" s="637">
        <v>4.0199999999999996</v>
      </c>
      <c r="B62" s="638">
        <v>2.89</v>
      </c>
      <c r="C62" s="631">
        <v>3</v>
      </c>
      <c r="D62" s="643">
        <v>6.5</v>
      </c>
      <c r="E62" s="640">
        <v>5.49</v>
      </c>
      <c r="F62" s="634">
        <v>3</v>
      </c>
      <c r="G62" s="644">
        <v>24.99</v>
      </c>
      <c r="H62" s="642">
        <v>9.4</v>
      </c>
      <c r="I62" s="631">
        <v>3</v>
      </c>
      <c r="J62" s="643">
        <v>18.21</v>
      </c>
      <c r="K62" s="640">
        <v>17.27</v>
      </c>
      <c r="L62" s="634">
        <v>3</v>
      </c>
      <c r="M62" s="644">
        <v>26.94</v>
      </c>
      <c r="N62" s="642">
        <v>21.69</v>
      </c>
      <c r="O62" s="631">
        <v>3</v>
      </c>
      <c r="P62" s="643">
        <v>32.32</v>
      </c>
      <c r="Q62" s="640">
        <v>29.46</v>
      </c>
      <c r="R62" s="634">
        <v>3</v>
      </c>
    </row>
    <row r="63" spans="1:18" ht="14.25" hidden="1" x14ac:dyDescent="0.2">
      <c r="A63" s="637">
        <v>4.2879999999999994</v>
      </c>
      <c r="B63" s="638">
        <v>2.952</v>
      </c>
      <c r="C63" s="631">
        <v>3.1</v>
      </c>
      <c r="D63" s="643">
        <f t="shared" ref="D63:E63" si="121">(D67-D62)/5*1+D62</f>
        <v>6.7720000000000002</v>
      </c>
      <c r="E63" s="640">
        <f t="shared" si="121"/>
        <v>5.61</v>
      </c>
      <c r="F63" s="634">
        <v>3.1</v>
      </c>
      <c r="G63" s="644">
        <f t="shared" ref="G63:H63" si="122">(G67-G62)/5*1+G62</f>
        <v>26.193999999999999</v>
      </c>
      <c r="H63" s="642">
        <f t="shared" si="122"/>
        <v>9.5440000000000005</v>
      </c>
      <c r="I63" s="631">
        <v>3.1</v>
      </c>
      <c r="J63" s="643">
        <f t="shared" ref="J63:K63" si="123">(J67-J62)/5*1+J62</f>
        <v>18.718</v>
      </c>
      <c r="K63" s="640">
        <f t="shared" si="123"/>
        <v>17.681999999999999</v>
      </c>
      <c r="L63" s="634">
        <v>3.1</v>
      </c>
      <c r="M63" s="644">
        <f t="shared" ref="M63:N63" si="124">(M67-M62)/5*1+M62</f>
        <v>28.148</v>
      </c>
      <c r="N63" s="642">
        <f t="shared" si="124"/>
        <v>22.166</v>
      </c>
      <c r="O63" s="631">
        <v>3.1</v>
      </c>
      <c r="P63" s="643">
        <f t="shared" ref="P63:Q63" si="125">(P67-P62)/5*1+P62</f>
        <v>33.332000000000001</v>
      </c>
      <c r="Q63" s="640">
        <f t="shared" si="125"/>
        <v>30.194000000000003</v>
      </c>
      <c r="R63" s="634">
        <v>3.1</v>
      </c>
    </row>
    <row r="64" spans="1:18" ht="14.25" hidden="1" x14ac:dyDescent="0.2">
      <c r="A64" s="637">
        <v>4.556</v>
      </c>
      <c r="B64" s="638">
        <v>3.0140000000000002</v>
      </c>
      <c r="C64" s="631">
        <v>3.2</v>
      </c>
      <c r="D64" s="643">
        <f t="shared" ref="D64:E64" si="126">(D67-D62)/5*2+D62</f>
        <v>7.0440000000000005</v>
      </c>
      <c r="E64" s="640">
        <f t="shared" si="126"/>
        <v>5.73</v>
      </c>
      <c r="F64" s="634">
        <v>3.2</v>
      </c>
      <c r="G64" s="644">
        <f t="shared" ref="G64:H64" si="127">(G67-G62)/5*2+G62</f>
        <v>27.398</v>
      </c>
      <c r="H64" s="642">
        <f t="shared" si="127"/>
        <v>9.6880000000000006</v>
      </c>
      <c r="I64" s="631">
        <v>3.2</v>
      </c>
      <c r="J64" s="643">
        <f t="shared" ref="J64:K64" si="128">(J67-J62)/5*2+J62</f>
        <v>19.225999999999999</v>
      </c>
      <c r="K64" s="640">
        <f t="shared" si="128"/>
        <v>18.093999999999998</v>
      </c>
      <c r="L64" s="634">
        <v>3.2</v>
      </c>
      <c r="M64" s="644">
        <f t="shared" ref="M64:N64" si="129">(M67-M62)/5*2+M62</f>
        <v>29.355999999999998</v>
      </c>
      <c r="N64" s="642">
        <f t="shared" si="129"/>
        <v>22.641999999999999</v>
      </c>
      <c r="O64" s="631">
        <v>3.2</v>
      </c>
      <c r="P64" s="643">
        <f t="shared" ref="P64:Q64" si="130">(P67-P62)/5*2+P62</f>
        <v>34.344000000000001</v>
      </c>
      <c r="Q64" s="640">
        <f t="shared" si="130"/>
        <v>30.928000000000001</v>
      </c>
      <c r="R64" s="634">
        <v>3.2</v>
      </c>
    </row>
    <row r="65" spans="1:18" ht="14.25" hidden="1" x14ac:dyDescent="0.2">
      <c r="A65" s="637">
        <v>4.8239999999999998</v>
      </c>
      <c r="B65" s="638">
        <v>3.0760000000000001</v>
      </c>
      <c r="C65" s="631">
        <v>3.3</v>
      </c>
      <c r="D65" s="643">
        <f t="shared" ref="D65:E65" si="131">(D67-D62)/5*3+D62</f>
        <v>7.3160000000000007</v>
      </c>
      <c r="E65" s="640">
        <f t="shared" si="131"/>
        <v>5.85</v>
      </c>
      <c r="F65" s="634">
        <v>3.3</v>
      </c>
      <c r="G65" s="644">
        <f t="shared" ref="G65:H65" si="132">(G67-G62)/5*3+G62</f>
        <v>28.602</v>
      </c>
      <c r="H65" s="642">
        <f t="shared" si="132"/>
        <v>9.831999999999999</v>
      </c>
      <c r="I65" s="631">
        <v>3.3</v>
      </c>
      <c r="J65" s="643">
        <f t="shared" ref="J65:K65" si="133">(J67-J62)/5*3+J62</f>
        <v>19.734000000000002</v>
      </c>
      <c r="K65" s="640">
        <f t="shared" si="133"/>
        <v>18.506</v>
      </c>
      <c r="L65" s="634">
        <v>3.3</v>
      </c>
      <c r="M65" s="644">
        <f t="shared" ref="M65:N65" si="134">(M67-M62)/5*3+M62</f>
        <v>30.564</v>
      </c>
      <c r="N65" s="642">
        <f t="shared" si="134"/>
        <v>23.118000000000002</v>
      </c>
      <c r="O65" s="631">
        <v>3.3</v>
      </c>
      <c r="P65" s="643">
        <f t="shared" ref="P65:Q65" si="135">(P67-P62)/5*3+P62</f>
        <v>35.356000000000002</v>
      </c>
      <c r="Q65" s="640">
        <f t="shared" si="135"/>
        <v>31.662000000000003</v>
      </c>
      <c r="R65" s="634">
        <v>3.3</v>
      </c>
    </row>
    <row r="66" spans="1:18" ht="14.25" hidden="1" x14ac:dyDescent="0.2">
      <c r="A66" s="645">
        <v>5.0920000000000005</v>
      </c>
      <c r="B66" s="638">
        <v>3.1380000000000003</v>
      </c>
      <c r="C66" s="631">
        <v>3.4</v>
      </c>
      <c r="D66" s="643">
        <f t="shared" ref="D66:E66" si="136">(D67-D62)/5*4+D62</f>
        <v>7.5880000000000001</v>
      </c>
      <c r="E66" s="640">
        <f t="shared" si="136"/>
        <v>5.97</v>
      </c>
      <c r="F66" s="634">
        <v>3.4</v>
      </c>
      <c r="G66" s="644">
        <f t="shared" ref="G66:H66" si="137">(G67-G62)/5*4+G62</f>
        <v>29.806000000000001</v>
      </c>
      <c r="H66" s="642">
        <f t="shared" si="137"/>
        <v>9.9759999999999991</v>
      </c>
      <c r="I66" s="631">
        <v>3.4</v>
      </c>
      <c r="J66" s="643">
        <f t="shared" ref="J66:K66" si="138">(J67-J62)/5*4+J62</f>
        <v>20.242000000000001</v>
      </c>
      <c r="K66" s="640">
        <f t="shared" si="138"/>
        <v>18.917999999999999</v>
      </c>
      <c r="L66" s="634">
        <v>3.4</v>
      </c>
      <c r="M66" s="644">
        <f t="shared" ref="M66:N66" si="139">(M67-M62)/5*4+M62</f>
        <v>31.771999999999998</v>
      </c>
      <c r="N66" s="642">
        <f t="shared" si="139"/>
        <v>23.594000000000001</v>
      </c>
      <c r="O66" s="631">
        <v>3.4</v>
      </c>
      <c r="P66" s="643">
        <f t="shared" ref="P66:Q66" si="140">(P67-P62)/5*4+P62</f>
        <v>36.368000000000002</v>
      </c>
      <c r="Q66" s="640">
        <f t="shared" si="140"/>
        <v>32.396000000000001</v>
      </c>
      <c r="R66" s="634">
        <v>3.4</v>
      </c>
    </row>
    <row r="67" spans="1:18" ht="14.25" hidden="1" x14ac:dyDescent="0.2">
      <c r="A67" s="645">
        <v>5.36</v>
      </c>
      <c r="B67" s="638">
        <v>3.2</v>
      </c>
      <c r="C67" s="631">
        <v>3.5</v>
      </c>
      <c r="D67" s="643">
        <v>7.86</v>
      </c>
      <c r="E67" s="640">
        <v>6.09</v>
      </c>
      <c r="F67" s="634">
        <v>3.5</v>
      </c>
      <c r="G67" s="644">
        <v>31.01</v>
      </c>
      <c r="H67" s="642">
        <v>10.119999999999999</v>
      </c>
      <c r="I67" s="631">
        <v>3.5</v>
      </c>
      <c r="J67" s="643">
        <v>20.75</v>
      </c>
      <c r="K67" s="640">
        <v>19.329999999999998</v>
      </c>
      <c r="L67" s="634">
        <v>3.5</v>
      </c>
      <c r="M67" s="644">
        <v>32.979999999999997</v>
      </c>
      <c r="N67" s="642">
        <v>24.07</v>
      </c>
      <c r="O67" s="631">
        <v>3.5</v>
      </c>
      <c r="P67" s="643">
        <v>37.380000000000003</v>
      </c>
      <c r="Q67" s="640">
        <v>33.130000000000003</v>
      </c>
      <c r="R67" s="634">
        <v>3.5</v>
      </c>
    </row>
    <row r="68" spans="1:18" ht="14.25" hidden="1" x14ac:dyDescent="0.2">
      <c r="A68" s="645">
        <v>5.6480000000000006</v>
      </c>
      <c r="B68" s="638">
        <v>3.258</v>
      </c>
      <c r="C68" s="631">
        <v>3.6</v>
      </c>
      <c r="D68" s="643">
        <f t="shared" ref="D68:E68" si="141">(D72-D67)/5*1+D67</f>
        <v>8.2640000000000011</v>
      </c>
      <c r="E68" s="640">
        <f t="shared" si="141"/>
        <v>6.1719999999999997</v>
      </c>
      <c r="F68" s="634">
        <v>3.6</v>
      </c>
      <c r="G68" s="644">
        <f t="shared" ref="G68:H68" si="142">(G72-G67)/5*1+G67</f>
        <v>31.166</v>
      </c>
      <c r="H68" s="642">
        <f t="shared" si="142"/>
        <v>10.196</v>
      </c>
      <c r="I68" s="631">
        <v>3.6</v>
      </c>
      <c r="J68" s="643">
        <f t="shared" ref="J68:K68" si="143">(J72-J67)/5*1+J67</f>
        <v>21.202000000000002</v>
      </c>
      <c r="K68" s="640">
        <f t="shared" si="143"/>
        <v>19.663999999999998</v>
      </c>
      <c r="L68" s="634">
        <v>3.6</v>
      </c>
      <c r="M68" s="644">
        <f t="shared" ref="M68:N68" si="144">(M72-M67)/5*1+M67</f>
        <v>34.373999999999995</v>
      </c>
      <c r="N68" s="642">
        <f t="shared" si="144"/>
        <v>24.456</v>
      </c>
      <c r="O68" s="631">
        <v>3.6</v>
      </c>
      <c r="P68" s="643">
        <f t="shared" ref="P68:Q68" si="145">(P72-P67)/5*1+P67</f>
        <v>38.444000000000003</v>
      </c>
      <c r="Q68" s="640">
        <f t="shared" si="145"/>
        <v>33.768000000000001</v>
      </c>
      <c r="R68" s="634">
        <v>3.6</v>
      </c>
    </row>
    <row r="69" spans="1:18" ht="14.25" hidden="1" x14ac:dyDescent="0.2">
      <c r="A69" s="645">
        <v>5.9359999999999999</v>
      </c>
      <c r="B69" s="638">
        <v>3.3160000000000003</v>
      </c>
      <c r="C69" s="631">
        <v>3.7</v>
      </c>
      <c r="D69" s="643">
        <f t="shared" ref="D69:E69" si="146">(D72-D67)/5*2+D67</f>
        <v>8.668000000000001</v>
      </c>
      <c r="E69" s="640">
        <f t="shared" si="146"/>
        <v>6.2539999999999996</v>
      </c>
      <c r="F69" s="634">
        <v>3.7</v>
      </c>
      <c r="G69" s="644">
        <f t="shared" ref="G69:H69" si="147">(G72-G67)/5*2+G67</f>
        <v>31.321999999999999</v>
      </c>
      <c r="H69" s="642">
        <f t="shared" si="147"/>
        <v>10.272</v>
      </c>
      <c r="I69" s="631">
        <v>3.7</v>
      </c>
      <c r="J69" s="643">
        <f t="shared" ref="J69:K69" si="148">(J72-J67)/5*2+J67</f>
        <v>21.654</v>
      </c>
      <c r="K69" s="640">
        <f t="shared" si="148"/>
        <v>19.997999999999998</v>
      </c>
      <c r="L69" s="634">
        <v>3.7</v>
      </c>
      <c r="M69" s="644">
        <f t="shared" ref="M69:N69" si="149">(M72-M67)/5*2+M67</f>
        <v>35.768000000000001</v>
      </c>
      <c r="N69" s="642">
        <f t="shared" si="149"/>
        <v>24.841999999999999</v>
      </c>
      <c r="O69" s="631">
        <v>3.7</v>
      </c>
      <c r="P69" s="643">
        <f t="shared" ref="P69:Q69" si="150">(P72-P67)/5*2+P67</f>
        <v>39.508000000000003</v>
      </c>
      <c r="Q69" s="640">
        <f t="shared" si="150"/>
        <v>34.405999999999999</v>
      </c>
      <c r="R69" s="634">
        <v>3.7</v>
      </c>
    </row>
    <row r="70" spans="1:18" ht="14.25" hidden="1" x14ac:dyDescent="0.2">
      <c r="A70" s="645">
        <v>6.2240000000000002</v>
      </c>
      <c r="B70" s="638">
        <v>3.3740000000000001</v>
      </c>
      <c r="C70" s="631">
        <v>3.8</v>
      </c>
      <c r="D70" s="643">
        <f t="shared" ref="D70:E70" si="151">(D72-D67)/5*3+D67</f>
        <v>9.072000000000001</v>
      </c>
      <c r="E70" s="640">
        <f t="shared" si="151"/>
        <v>6.3360000000000003</v>
      </c>
      <c r="F70" s="634">
        <v>3.8</v>
      </c>
      <c r="G70" s="644">
        <f t="shared" ref="G70:H70" si="152">(G72-G67)/5*3+G67</f>
        <v>31.478000000000002</v>
      </c>
      <c r="H70" s="642">
        <f t="shared" si="152"/>
        <v>10.347999999999999</v>
      </c>
      <c r="I70" s="631">
        <v>3.8</v>
      </c>
      <c r="J70" s="643">
        <f t="shared" ref="J70:K70" si="153">(J72-J67)/5*3+J67</f>
        <v>22.106000000000002</v>
      </c>
      <c r="K70" s="640">
        <f t="shared" si="153"/>
        <v>20.332000000000001</v>
      </c>
      <c r="L70" s="634">
        <v>3.8</v>
      </c>
      <c r="M70" s="644">
        <f t="shared" ref="M70:N70" si="154">(M72-M67)/5*3+M67</f>
        <v>37.161999999999999</v>
      </c>
      <c r="N70" s="642">
        <f t="shared" si="154"/>
        <v>25.228000000000002</v>
      </c>
      <c r="O70" s="631">
        <v>3.8</v>
      </c>
      <c r="P70" s="643">
        <f t="shared" ref="P70:Q70" si="155">(P72-P67)/5*3+P67</f>
        <v>40.572000000000003</v>
      </c>
      <c r="Q70" s="640">
        <f t="shared" si="155"/>
        <v>35.044000000000004</v>
      </c>
      <c r="R70" s="634">
        <v>3.8</v>
      </c>
    </row>
    <row r="71" spans="1:18" ht="14.25" hidden="1" x14ac:dyDescent="0.2">
      <c r="A71" s="645">
        <v>6.5120000000000005</v>
      </c>
      <c r="B71" s="638">
        <v>3.4320000000000004</v>
      </c>
      <c r="C71" s="631">
        <v>3.9</v>
      </c>
      <c r="D71" s="643">
        <f t="shared" ref="D71:E71" si="156">(D72-D67)/5*4+D67</f>
        <v>9.4760000000000009</v>
      </c>
      <c r="E71" s="640">
        <f t="shared" si="156"/>
        <v>6.4180000000000001</v>
      </c>
      <c r="F71" s="634">
        <v>3.9</v>
      </c>
      <c r="G71" s="644">
        <f t="shared" ref="G71:H71" si="157">(G72-G67)/5*4+G67</f>
        <v>31.634</v>
      </c>
      <c r="H71" s="642">
        <f t="shared" si="157"/>
        <v>10.423999999999999</v>
      </c>
      <c r="I71" s="631">
        <v>3.9</v>
      </c>
      <c r="J71" s="643">
        <f t="shared" ref="J71:K71" si="158">(J72-J67)/5*4+J67</f>
        <v>22.558</v>
      </c>
      <c r="K71" s="640">
        <f t="shared" si="158"/>
        <v>20.666</v>
      </c>
      <c r="L71" s="634">
        <v>3.9</v>
      </c>
      <c r="M71" s="644">
        <f t="shared" ref="M71:N71" si="159">(M72-M67)/5*4+M67</f>
        <v>38.556000000000004</v>
      </c>
      <c r="N71" s="642">
        <f t="shared" si="159"/>
        <v>25.614000000000001</v>
      </c>
      <c r="O71" s="631">
        <v>3.9</v>
      </c>
      <c r="P71" s="643">
        <f t="shared" ref="P71:Q71" si="160">(P72-P67)/5*4+P67</f>
        <v>41.636000000000003</v>
      </c>
      <c r="Q71" s="640">
        <f t="shared" si="160"/>
        <v>35.682000000000002</v>
      </c>
      <c r="R71" s="634">
        <v>3.9</v>
      </c>
    </row>
    <row r="72" spans="1:18" ht="14.25" hidden="1" x14ac:dyDescent="0.2">
      <c r="A72" s="645">
        <v>6.8</v>
      </c>
      <c r="B72" s="638">
        <v>3.49</v>
      </c>
      <c r="C72" s="631">
        <v>4</v>
      </c>
      <c r="D72" s="643">
        <v>9.8800000000000008</v>
      </c>
      <c r="E72" s="640">
        <v>6.5</v>
      </c>
      <c r="F72" s="634">
        <v>4</v>
      </c>
      <c r="G72" s="644">
        <v>31.79</v>
      </c>
      <c r="H72" s="642">
        <v>10.5</v>
      </c>
      <c r="I72" s="631">
        <v>4</v>
      </c>
      <c r="J72" s="643">
        <v>23.01</v>
      </c>
      <c r="K72" s="640">
        <v>21</v>
      </c>
      <c r="L72" s="634">
        <v>4</v>
      </c>
      <c r="M72" s="644">
        <v>39.950000000000003</v>
      </c>
      <c r="N72" s="642">
        <v>26</v>
      </c>
      <c r="O72" s="631">
        <v>4</v>
      </c>
      <c r="P72" s="643">
        <v>42.7</v>
      </c>
      <c r="Q72" s="640">
        <v>36.32</v>
      </c>
      <c r="R72" s="634">
        <v>4</v>
      </c>
    </row>
    <row r="73" spans="1:18" ht="14.25" hidden="1" x14ac:dyDescent="0.2">
      <c r="A73" s="646"/>
      <c r="B73" s="630"/>
      <c r="C73" s="631"/>
      <c r="D73" s="636"/>
      <c r="E73" s="633"/>
      <c r="F73" s="634"/>
      <c r="G73" s="635"/>
      <c r="H73" s="630"/>
      <c r="I73" s="631"/>
      <c r="J73" s="636"/>
      <c r="K73" s="633"/>
      <c r="L73" s="634"/>
      <c r="M73" s="635"/>
      <c r="N73" s="630"/>
      <c r="O73" s="631"/>
      <c r="P73" s="643">
        <f t="shared" ref="P73:Q73" si="161">(P77-P72)/5*1+P72</f>
        <v>44.1</v>
      </c>
      <c r="Q73" s="640">
        <f t="shared" si="161"/>
        <v>37.055999999999997</v>
      </c>
      <c r="R73" s="634">
        <v>4.0999999999999996</v>
      </c>
    </row>
    <row r="74" spans="1:18" ht="14.25" hidden="1" x14ac:dyDescent="0.2">
      <c r="A74" s="646"/>
      <c r="B74" s="630"/>
      <c r="C74" s="631"/>
      <c r="D74" s="636"/>
      <c r="E74" s="633"/>
      <c r="F74" s="634"/>
      <c r="G74" s="635"/>
      <c r="H74" s="630"/>
      <c r="I74" s="631"/>
      <c r="J74" s="636"/>
      <c r="K74" s="633"/>
      <c r="L74" s="634"/>
      <c r="M74" s="635"/>
      <c r="N74" s="630"/>
      <c r="O74" s="631"/>
      <c r="P74" s="643">
        <f t="shared" ref="P74:Q74" si="162">(P77-P72)/5*2+P72</f>
        <v>45.5</v>
      </c>
      <c r="Q74" s="640">
        <f t="shared" si="162"/>
        <v>37.792000000000002</v>
      </c>
      <c r="R74" s="634">
        <v>4.2</v>
      </c>
    </row>
    <row r="75" spans="1:18" ht="14.25" hidden="1" x14ac:dyDescent="0.2">
      <c r="A75" s="646"/>
      <c r="B75" s="630"/>
      <c r="C75" s="631"/>
      <c r="D75" s="636"/>
      <c r="E75" s="633"/>
      <c r="F75" s="634"/>
      <c r="G75" s="635"/>
      <c r="H75" s="630"/>
      <c r="I75" s="631"/>
      <c r="J75" s="636"/>
      <c r="K75" s="633"/>
      <c r="L75" s="634"/>
      <c r="M75" s="635"/>
      <c r="N75" s="630"/>
      <c r="O75" s="631"/>
      <c r="P75" s="643">
        <f t="shared" ref="P75:Q75" si="163">(P77-P72)/5*3+P72</f>
        <v>46.900000000000006</v>
      </c>
      <c r="Q75" s="640">
        <f t="shared" si="163"/>
        <v>38.527999999999999</v>
      </c>
      <c r="R75" s="634">
        <v>4.3</v>
      </c>
    </row>
    <row r="76" spans="1:18" ht="14.25" hidden="1" x14ac:dyDescent="0.2">
      <c r="A76" s="646"/>
      <c r="B76" s="630"/>
      <c r="C76" s="631"/>
      <c r="D76" s="636"/>
      <c r="E76" s="633"/>
      <c r="F76" s="634"/>
      <c r="G76" s="635"/>
      <c r="H76" s="630"/>
      <c r="I76" s="631"/>
      <c r="J76" s="636"/>
      <c r="K76" s="633"/>
      <c r="L76" s="634"/>
      <c r="M76" s="635"/>
      <c r="N76" s="630"/>
      <c r="O76" s="631"/>
      <c r="P76" s="643">
        <f t="shared" ref="P76:Q76" si="164">(P77-P72)/5*4+P72</f>
        <v>48.300000000000004</v>
      </c>
      <c r="Q76" s="640">
        <f t="shared" si="164"/>
        <v>39.264000000000003</v>
      </c>
      <c r="R76" s="634">
        <v>4.4000000000000004</v>
      </c>
    </row>
    <row r="77" spans="1:18" ht="15" hidden="1" thickBot="1" x14ac:dyDescent="0.25">
      <c r="A77" s="647"/>
      <c r="B77" s="648"/>
      <c r="C77" s="649"/>
      <c r="D77" s="650"/>
      <c r="E77" s="651"/>
      <c r="F77" s="652"/>
      <c r="G77" s="653"/>
      <c r="H77" s="648"/>
      <c r="I77" s="649"/>
      <c r="J77" s="650"/>
      <c r="K77" s="651"/>
      <c r="L77" s="652"/>
      <c r="M77" s="653"/>
      <c r="N77" s="648"/>
      <c r="O77" s="649"/>
      <c r="P77" s="654">
        <v>49.7</v>
      </c>
      <c r="Q77" s="655">
        <v>40</v>
      </c>
      <c r="R77" s="652">
        <v>4.5</v>
      </c>
    </row>
    <row r="78" spans="1:18" hidden="1" x14ac:dyDescent="0.2"/>
    <row r="79" spans="1:18" hidden="1" x14ac:dyDescent="0.2"/>
    <row r="80" spans="1:18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</sheetData>
  <sheetProtection sheet="1" objects="1" scenarios="1"/>
  <mergeCells count="36">
    <mergeCell ref="P30:R30"/>
    <mergeCell ref="B26:C26"/>
    <mergeCell ref="D26:E26"/>
    <mergeCell ref="F26:G26"/>
    <mergeCell ref="H26:I26"/>
    <mergeCell ref="B27:C27"/>
    <mergeCell ref="D27:E27"/>
    <mergeCell ref="F27:G27"/>
    <mergeCell ref="H27:I27"/>
    <mergeCell ref="A30:C30"/>
    <mergeCell ref="D30:F30"/>
    <mergeCell ref="G30:I30"/>
    <mergeCell ref="J30:L30"/>
    <mergeCell ref="M30:O30"/>
    <mergeCell ref="B24:C24"/>
    <mergeCell ref="D24:E24"/>
    <mergeCell ref="F24:G24"/>
    <mergeCell ref="H24:I24"/>
    <mergeCell ref="B25:C25"/>
    <mergeCell ref="D25:E25"/>
    <mergeCell ref="F25:G25"/>
    <mergeCell ref="H25:I25"/>
    <mergeCell ref="B22:C22"/>
    <mergeCell ref="D22:E22"/>
    <mergeCell ref="F22:G22"/>
    <mergeCell ref="H22:I22"/>
    <mergeCell ref="B23:C23"/>
    <mergeCell ref="D23:E23"/>
    <mergeCell ref="F23:G23"/>
    <mergeCell ref="H23:I23"/>
    <mergeCell ref="A1:I1"/>
    <mergeCell ref="A2:I2"/>
    <mergeCell ref="B21:C21"/>
    <mergeCell ref="D21:E21"/>
    <mergeCell ref="F21:G21"/>
    <mergeCell ref="H21:I2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1CAFA-B1D7-4796-9C2C-C7261DED6089}">
  <dimension ref="A1:X227"/>
  <sheetViews>
    <sheetView workbookViewId="0">
      <selection activeCell="J9" sqref="J9"/>
    </sheetView>
  </sheetViews>
  <sheetFormatPr defaultColWidth="11.42578125" defaultRowHeight="12.75" x14ac:dyDescent="0.2"/>
  <cols>
    <col min="1" max="1" width="12.7109375" customWidth="1"/>
    <col min="2" max="2" width="14.28515625" bestFit="1" customWidth="1"/>
    <col min="3" max="4" width="12.7109375" style="385" customWidth="1"/>
    <col min="5" max="15" width="12.7109375" customWidth="1"/>
    <col min="21" max="21" width="12.5703125" bestFit="1" customWidth="1"/>
  </cols>
  <sheetData>
    <row r="1" spans="1:9" ht="21" thickTop="1" x14ac:dyDescent="0.3">
      <c r="A1" s="932" t="s">
        <v>780</v>
      </c>
      <c r="B1" s="933"/>
      <c r="C1" s="933"/>
      <c r="D1" s="933"/>
      <c r="E1" s="933"/>
      <c r="F1" s="933"/>
      <c r="G1" s="933"/>
      <c r="H1" s="933"/>
      <c r="I1" s="934"/>
    </row>
    <row r="2" spans="1:9" ht="21" thickBot="1" x14ac:dyDescent="0.35">
      <c r="A2" s="1076" t="s">
        <v>853</v>
      </c>
      <c r="B2" s="1077"/>
      <c r="C2" s="1077"/>
      <c r="D2" s="1077"/>
      <c r="E2" s="1077"/>
      <c r="F2" s="1077"/>
      <c r="G2" s="1077"/>
      <c r="H2" s="1077"/>
      <c r="I2" s="1078"/>
    </row>
    <row r="3" spans="1:9" ht="20.25" x14ac:dyDescent="0.3">
      <c r="A3" s="615"/>
      <c r="B3" s="616"/>
      <c r="C3" s="616"/>
      <c r="D3" s="616"/>
      <c r="E3" s="616"/>
      <c r="F3" s="616"/>
      <c r="G3" s="616"/>
      <c r="H3" s="616"/>
      <c r="I3" s="617"/>
    </row>
    <row r="4" spans="1:9" x14ac:dyDescent="0.2">
      <c r="A4" s="618"/>
      <c r="B4" s="619"/>
      <c r="C4" s="19" t="s">
        <v>25</v>
      </c>
      <c r="D4" s="620"/>
      <c r="E4" s="619"/>
      <c r="F4" s="619"/>
      <c r="G4" s="619"/>
      <c r="H4" s="619"/>
      <c r="I4" s="621"/>
    </row>
    <row r="5" spans="1:9" x14ac:dyDescent="0.2">
      <c r="A5" s="622" t="s">
        <v>770</v>
      </c>
      <c r="B5" s="619"/>
      <c r="C5" s="33">
        <v>10000</v>
      </c>
      <c r="D5" s="623" t="s">
        <v>69</v>
      </c>
      <c r="E5" s="619"/>
      <c r="F5" s="619"/>
      <c r="G5" s="619"/>
      <c r="H5" s="619"/>
      <c r="I5" s="621"/>
    </row>
    <row r="6" spans="1:9" x14ac:dyDescent="0.2">
      <c r="A6" s="622" t="s">
        <v>771</v>
      </c>
      <c r="B6" s="619"/>
      <c r="C6" s="33">
        <v>10</v>
      </c>
      <c r="D6" s="234" t="s">
        <v>777</v>
      </c>
      <c r="G6" s="619"/>
      <c r="H6" s="619"/>
      <c r="I6" s="621"/>
    </row>
    <row r="7" spans="1:9" x14ac:dyDescent="0.2">
      <c r="A7" s="622"/>
      <c r="B7" s="619"/>
      <c r="C7" s="624"/>
      <c r="D7" s="623"/>
      <c r="E7" s="619"/>
      <c r="F7" s="619"/>
      <c r="G7" s="619"/>
      <c r="H7" s="619"/>
      <c r="I7" s="621"/>
    </row>
    <row r="8" spans="1:9" x14ac:dyDescent="0.2">
      <c r="A8" s="622" t="s">
        <v>778</v>
      </c>
      <c r="C8" s="625">
        <f>(C5/1000)/((C6/100)^0.5)</f>
        <v>31.622776601683793</v>
      </c>
      <c r="D8" s="619"/>
      <c r="E8" s="619"/>
      <c r="F8" s="619"/>
      <c r="G8" s="619"/>
      <c r="H8" s="619"/>
      <c r="I8" s="621"/>
    </row>
    <row r="9" spans="1:9" x14ac:dyDescent="0.2">
      <c r="A9" s="622"/>
      <c r="B9" s="619"/>
      <c r="C9" s="624"/>
      <c r="D9" s="623"/>
      <c r="E9" s="619"/>
      <c r="F9" s="619"/>
      <c r="G9" s="619"/>
      <c r="H9" s="619"/>
      <c r="I9" s="621"/>
    </row>
    <row r="10" spans="1:9" x14ac:dyDescent="0.2">
      <c r="A10" s="622"/>
      <c r="B10" s="619"/>
      <c r="C10" s="624"/>
      <c r="D10" s="623"/>
      <c r="E10" s="619"/>
      <c r="F10" s="619"/>
      <c r="G10" s="619"/>
      <c r="H10" s="619"/>
      <c r="I10" s="621"/>
    </row>
    <row r="11" spans="1:9" x14ac:dyDescent="0.2">
      <c r="A11" s="622"/>
      <c r="B11" s="619"/>
      <c r="C11" s="624"/>
      <c r="D11" s="623"/>
      <c r="E11" s="619"/>
      <c r="F11" s="619"/>
      <c r="G11" s="619"/>
      <c r="H11" s="619"/>
      <c r="I11" s="621"/>
    </row>
    <row r="12" spans="1:9" x14ac:dyDescent="0.2">
      <c r="A12" s="622"/>
      <c r="B12" s="619"/>
      <c r="C12" s="624"/>
      <c r="D12" s="623"/>
      <c r="E12" s="619"/>
      <c r="F12" s="619"/>
      <c r="G12" s="619"/>
      <c r="H12" s="619"/>
      <c r="I12" s="621"/>
    </row>
    <row r="13" spans="1:9" x14ac:dyDescent="0.2">
      <c r="A13" s="622"/>
      <c r="B13" s="619"/>
      <c r="C13" s="624"/>
      <c r="D13" s="623"/>
      <c r="E13" s="619"/>
      <c r="F13" s="619"/>
      <c r="G13" s="619"/>
      <c r="H13" s="619"/>
      <c r="I13" s="621"/>
    </row>
    <row r="14" spans="1:9" x14ac:dyDescent="0.2">
      <c r="A14" s="622"/>
      <c r="B14" s="619"/>
      <c r="C14" s="624"/>
      <c r="D14" s="623"/>
      <c r="E14" s="619"/>
      <c r="F14" s="619"/>
      <c r="G14" s="619"/>
      <c r="H14" s="619"/>
      <c r="I14" s="621"/>
    </row>
    <row r="15" spans="1:9" x14ac:dyDescent="0.2">
      <c r="A15" s="622"/>
      <c r="B15" s="619"/>
      <c r="C15" s="624"/>
      <c r="D15" s="623"/>
      <c r="E15" s="619"/>
      <c r="F15" s="619"/>
      <c r="G15" s="619"/>
      <c r="H15" s="619"/>
      <c r="I15" s="621"/>
    </row>
    <row r="16" spans="1:9" x14ac:dyDescent="0.2">
      <c r="A16" s="622"/>
      <c r="B16" s="619"/>
      <c r="C16" s="624"/>
      <c r="D16" s="623"/>
      <c r="E16" s="619"/>
      <c r="F16" s="619"/>
      <c r="G16" s="619"/>
      <c r="H16" s="619"/>
      <c r="I16" s="621"/>
    </row>
    <row r="17" spans="1:9" x14ac:dyDescent="0.2">
      <c r="A17" s="622"/>
      <c r="B17" s="619"/>
      <c r="C17" s="620"/>
      <c r="D17" s="620"/>
      <c r="E17" s="619"/>
      <c r="F17" s="619"/>
      <c r="G17" s="619"/>
      <c r="H17" s="619"/>
      <c r="I17" s="621"/>
    </row>
    <row r="18" spans="1:9" x14ac:dyDescent="0.2">
      <c r="A18" s="622"/>
      <c r="B18" s="619"/>
      <c r="C18" s="620"/>
      <c r="D18" s="620"/>
      <c r="E18" s="619"/>
      <c r="F18" s="619"/>
      <c r="G18" s="619"/>
      <c r="H18" s="619"/>
      <c r="I18" s="621"/>
    </row>
    <row r="19" spans="1:9" x14ac:dyDescent="0.2">
      <c r="A19" s="618"/>
      <c r="B19" s="619"/>
      <c r="C19" s="620"/>
      <c r="D19" s="620"/>
      <c r="E19" s="623"/>
      <c r="F19" s="619"/>
      <c r="G19" s="619"/>
      <c r="H19" s="619"/>
      <c r="I19" s="621"/>
    </row>
    <row r="20" spans="1:9" ht="13.5" thickBot="1" x14ac:dyDescent="0.25">
      <c r="A20" s="618"/>
      <c r="B20" s="619"/>
      <c r="C20" s="620"/>
      <c r="D20" s="620"/>
      <c r="E20" s="619"/>
      <c r="F20" s="619"/>
      <c r="G20" s="619"/>
      <c r="H20" s="619"/>
      <c r="I20" s="621"/>
    </row>
    <row r="21" spans="1:9" ht="38.25" customHeight="1" thickTop="1" x14ac:dyDescent="0.2">
      <c r="A21" s="9" t="s">
        <v>371</v>
      </c>
      <c r="B21" s="911" t="s">
        <v>779</v>
      </c>
      <c r="C21" s="911"/>
      <c r="D21" s="1105" t="s">
        <v>62</v>
      </c>
      <c r="E21" s="1106"/>
      <c r="F21" s="623"/>
      <c r="G21" s="619"/>
      <c r="H21" s="623"/>
      <c r="I21" s="621"/>
    </row>
    <row r="22" spans="1:9" x14ac:dyDescent="0.2">
      <c r="A22" s="627">
        <v>65</v>
      </c>
      <c r="B22" s="1085">
        <f>A117</f>
        <v>64.113897434377165</v>
      </c>
      <c r="C22" s="1085"/>
      <c r="D22" s="1086">
        <f>IF($C$8&gt;B22,"NOT POSSIBLE",(VLOOKUP($C$8,A$37:B116,2)))</f>
        <v>2.8</v>
      </c>
      <c r="E22" s="1107"/>
      <c r="F22" s="623"/>
      <c r="G22" s="619"/>
      <c r="H22" s="623"/>
      <c r="I22" s="621"/>
    </row>
    <row r="23" spans="1:9" x14ac:dyDescent="0.2">
      <c r="A23" s="628">
        <v>80</v>
      </c>
      <c r="B23" s="1091">
        <f>C117</f>
        <v>85.408095192785296</v>
      </c>
      <c r="C23" s="1091"/>
      <c r="D23" s="1086">
        <f>IF($C$8&gt;B23,"NOT POSSIBLE",(VLOOKUP($C$8,C$37:D117,2)))</f>
        <v>1.9</v>
      </c>
      <c r="E23" s="1107"/>
      <c r="F23" s="623"/>
      <c r="G23" s="619"/>
      <c r="H23" s="623"/>
      <c r="I23" s="621"/>
    </row>
    <row r="24" spans="1:9" x14ac:dyDescent="0.2">
      <c r="A24" s="627">
        <v>100</v>
      </c>
      <c r="B24" s="1108">
        <f>E117</f>
        <v>119.27415535846687</v>
      </c>
      <c r="C24" s="1108"/>
      <c r="D24" s="1086">
        <f>IF($C$8&gt;B24,"NOT POSSIBLE",(VLOOKUP($C$8,E$37:F117,2)))</f>
        <v>1.3</v>
      </c>
      <c r="E24" s="1107"/>
      <c r="F24" s="623"/>
      <c r="G24" s="619"/>
      <c r="H24" s="623"/>
      <c r="I24" s="621"/>
    </row>
    <row r="25" spans="1:9" x14ac:dyDescent="0.2">
      <c r="A25" s="628">
        <v>125</v>
      </c>
      <c r="B25" s="1109">
        <f>G117</f>
        <v>202.50457524202375</v>
      </c>
      <c r="C25" s="1109"/>
      <c r="D25" s="1086">
        <f>IF($C$8&gt;B25,"NOT POSSIBLE",(VLOOKUP($C$8,G$37:H117,2)))</f>
        <v>0.7</v>
      </c>
      <c r="E25" s="1107"/>
      <c r="F25" s="623"/>
      <c r="G25" s="619"/>
      <c r="H25" s="623"/>
      <c r="I25" s="621"/>
    </row>
    <row r="26" spans="1:9" x14ac:dyDescent="0.2">
      <c r="A26" s="627">
        <v>150</v>
      </c>
      <c r="B26" s="1108">
        <f>I117</f>
        <v>263.12657075569695</v>
      </c>
      <c r="C26" s="1108"/>
      <c r="D26" s="1086">
        <f>IF($C$8&gt;B26,"NOT POSSIBLE",(VLOOKUP($C$8,I$37:J117,2)))</f>
        <v>0.4</v>
      </c>
      <c r="E26" s="1107"/>
      <c r="F26" s="623"/>
      <c r="G26" s="619"/>
      <c r="H26" s="623"/>
      <c r="I26" s="621"/>
    </row>
    <row r="27" spans="1:9" x14ac:dyDescent="0.2">
      <c r="A27" s="628">
        <v>200</v>
      </c>
      <c r="B27" s="1109">
        <f>K157</f>
        <v>504.3867097814661</v>
      </c>
      <c r="C27" s="1109"/>
      <c r="D27" s="1086">
        <f>IF($C$8&gt;B27,"NOT POSSIBLE",(VLOOKUP($C$8,K$37:L157,2)))</f>
        <v>0.2</v>
      </c>
      <c r="E27" s="1107"/>
      <c r="F27" s="623"/>
      <c r="G27" s="619"/>
      <c r="H27" s="623"/>
      <c r="I27" s="621"/>
    </row>
    <row r="28" spans="1:9" x14ac:dyDescent="0.2">
      <c r="A28" s="627">
        <v>250</v>
      </c>
      <c r="B28" s="1108">
        <f>M197</f>
        <v>911.72795767795969</v>
      </c>
      <c r="C28" s="1108"/>
      <c r="D28" s="1086">
        <f>IF($C$8&gt;B28,"NOT POSSIBLE",(VLOOKUP($C$8,M$37:N197,2)))</f>
        <v>0.3</v>
      </c>
      <c r="E28" s="1107"/>
      <c r="F28" s="623"/>
      <c r="G28" s="619"/>
      <c r="H28" s="623"/>
      <c r="I28" s="621"/>
    </row>
    <row r="29" spans="1:9" x14ac:dyDescent="0.2">
      <c r="A29" s="628">
        <v>300</v>
      </c>
      <c r="B29" s="1109">
        <f>O197</f>
        <v>1098.7791681559133</v>
      </c>
      <c r="C29" s="1109"/>
      <c r="D29" s="1086">
        <f>IF($C$8&gt;B29,"NOT POSSIBLE",(VLOOKUP($C$8,O$37:P197,2)))</f>
        <v>0.2</v>
      </c>
      <c r="E29" s="1107"/>
      <c r="F29" s="623"/>
      <c r="G29" s="619"/>
      <c r="H29" s="623"/>
      <c r="I29" s="621"/>
    </row>
    <row r="30" spans="1:9" x14ac:dyDescent="0.2">
      <c r="A30" s="627">
        <v>350</v>
      </c>
      <c r="B30" s="1108">
        <f>Q227</f>
        <v>2084.8232539296837</v>
      </c>
      <c r="C30" s="1108"/>
      <c r="D30" s="1086">
        <f>IF($C$8&gt;B30,"NOT POSSIBLE",(VLOOKUP($C$8,Q$37:R227,2)))</f>
        <v>0.1</v>
      </c>
      <c r="E30" s="1107"/>
      <c r="F30" s="623"/>
      <c r="G30" s="619"/>
      <c r="H30" s="623"/>
      <c r="I30" s="621"/>
    </row>
    <row r="31" spans="1:9" x14ac:dyDescent="0.2">
      <c r="A31" s="628">
        <v>400</v>
      </c>
      <c r="B31" s="1109">
        <f>S227</f>
        <v>2189.1541812903401</v>
      </c>
      <c r="C31" s="1109"/>
      <c r="D31" s="1086">
        <f>IF($C$8&gt;B31,"NOT POSSIBLE",(VLOOKUP($C$8,S$37:T228,2)))</f>
        <v>0.1</v>
      </c>
      <c r="E31" s="1107"/>
      <c r="F31" s="623"/>
      <c r="G31" s="619"/>
      <c r="H31" s="623"/>
      <c r="I31" s="621"/>
    </row>
    <row r="32" spans="1:9" x14ac:dyDescent="0.2">
      <c r="A32" s="627">
        <v>450</v>
      </c>
      <c r="B32" s="1108">
        <f>U227</f>
        <v>2526.3015316718047</v>
      </c>
      <c r="C32" s="1108"/>
      <c r="D32" s="1086">
        <f>IF($C$8&gt;B32,"NOT POSSIBLE",(VLOOKUP($C$8,U$37:V229,2)))</f>
        <v>0.1</v>
      </c>
      <c r="E32" s="1107"/>
      <c r="F32" s="623"/>
      <c r="G32" s="619"/>
      <c r="H32" s="623"/>
      <c r="I32" s="621"/>
    </row>
    <row r="33" spans="1:24" ht="13.5" thickBot="1" x14ac:dyDescent="0.25">
      <c r="A33" s="629">
        <v>500</v>
      </c>
      <c r="B33" s="1110">
        <f>W227</f>
        <v>3381.0932791884889</v>
      </c>
      <c r="C33" s="1110"/>
      <c r="D33" s="1096">
        <f>IF($C$8&gt;B33,"NOT POSSIBLE",(VLOOKUP($C$8,W$37:X227,2)))</f>
        <v>0</v>
      </c>
      <c r="E33" s="1111"/>
      <c r="F33" s="656"/>
      <c r="G33" s="657"/>
      <c r="H33" s="656"/>
      <c r="I33" s="658"/>
    </row>
    <row r="34" spans="1:24" ht="13.5" thickTop="1" x14ac:dyDescent="0.2">
      <c r="A34" s="385"/>
      <c r="B34" s="385"/>
      <c r="D34" s="50"/>
      <c r="E34" s="50"/>
      <c r="F34" s="50"/>
    </row>
    <row r="35" spans="1:24" hidden="1" x14ac:dyDescent="0.2">
      <c r="A35" s="1112" t="s">
        <v>756</v>
      </c>
      <c r="B35" s="1113"/>
      <c r="C35" s="1114" t="s">
        <v>757</v>
      </c>
      <c r="D35" s="1115"/>
      <c r="E35" s="1116" t="s">
        <v>758</v>
      </c>
      <c r="F35" s="1113"/>
      <c r="G35" s="1114" t="s">
        <v>759</v>
      </c>
      <c r="H35" s="1117"/>
      <c r="I35" s="1112" t="s">
        <v>760</v>
      </c>
      <c r="J35" s="1113"/>
      <c r="K35" s="1114" t="s">
        <v>761</v>
      </c>
      <c r="L35" s="1117"/>
      <c r="M35" s="1112" t="s">
        <v>762</v>
      </c>
      <c r="N35" s="1113"/>
      <c r="O35" s="1114" t="s">
        <v>763</v>
      </c>
      <c r="P35" s="1117"/>
      <c r="Q35" s="1112" t="s">
        <v>764</v>
      </c>
      <c r="R35" s="1113"/>
      <c r="S35" s="1114" t="s">
        <v>765</v>
      </c>
      <c r="T35" s="1117"/>
      <c r="U35" s="1112" t="s">
        <v>766</v>
      </c>
      <c r="V35" s="1113"/>
      <c r="W35" s="1114" t="s">
        <v>767</v>
      </c>
      <c r="X35" s="1117"/>
    </row>
    <row r="36" spans="1:24" hidden="1" x14ac:dyDescent="0.2">
      <c r="A36" s="165" t="s">
        <v>768</v>
      </c>
      <c r="B36" s="631" t="s">
        <v>755</v>
      </c>
      <c r="C36" s="659" t="s">
        <v>768</v>
      </c>
      <c r="D36" s="634" t="s">
        <v>755</v>
      </c>
      <c r="E36" s="660" t="s">
        <v>768</v>
      </c>
      <c r="F36" s="631" t="s">
        <v>755</v>
      </c>
      <c r="G36" s="659" t="s">
        <v>768</v>
      </c>
      <c r="H36" s="634" t="s">
        <v>755</v>
      </c>
      <c r="I36" s="660" t="s">
        <v>768</v>
      </c>
      <c r="J36" s="631" t="s">
        <v>755</v>
      </c>
      <c r="K36" s="659" t="s">
        <v>768</v>
      </c>
      <c r="L36" s="634" t="s">
        <v>755</v>
      </c>
      <c r="M36" s="660" t="s">
        <v>768</v>
      </c>
      <c r="N36" s="631" t="s">
        <v>755</v>
      </c>
      <c r="O36" s="659" t="s">
        <v>768</v>
      </c>
      <c r="P36" s="634" t="s">
        <v>755</v>
      </c>
      <c r="Q36" s="660" t="s">
        <v>768</v>
      </c>
      <c r="R36" s="631" t="s">
        <v>755</v>
      </c>
      <c r="S36" s="659" t="s">
        <v>768</v>
      </c>
      <c r="T36" s="634" t="s">
        <v>755</v>
      </c>
      <c r="U36" s="660" t="s">
        <v>768</v>
      </c>
      <c r="V36" s="631" t="s">
        <v>755</v>
      </c>
      <c r="W36" s="659" t="s">
        <v>768</v>
      </c>
      <c r="X36" s="634" t="s">
        <v>755</v>
      </c>
    </row>
    <row r="37" spans="1:24" hidden="1" x14ac:dyDescent="0.2">
      <c r="A37" s="661">
        <v>0</v>
      </c>
      <c r="B37" s="631">
        <v>0</v>
      </c>
      <c r="C37" s="662">
        <v>0</v>
      </c>
      <c r="D37" s="634">
        <v>0</v>
      </c>
      <c r="E37" s="661">
        <v>0</v>
      </c>
      <c r="F37" s="631">
        <v>0</v>
      </c>
      <c r="G37" s="662">
        <v>0</v>
      </c>
      <c r="H37" s="634">
        <v>0</v>
      </c>
      <c r="I37" s="661">
        <v>0</v>
      </c>
      <c r="J37" s="631">
        <v>0</v>
      </c>
      <c r="K37" s="662">
        <v>0</v>
      </c>
      <c r="L37" s="634">
        <v>0</v>
      </c>
      <c r="M37" s="661">
        <v>0</v>
      </c>
      <c r="N37" s="631">
        <v>0</v>
      </c>
      <c r="O37" s="662">
        <v>0</v>
      </c>
      <c r="P37" s="634">
        <v>0</v>
      </c>
      <c r="Q37" s="661">
        <v>0</v>
      </c>
      <c r="R37" s="631">
        <v>0</v>
      </c>
      <c r="S37" s="662">
        <v>0</v>
      </c>
      <c r="T37" s="634">
        <v>0</v>
      </c>
      <c r="U37" s="661">
        <v>0</v>
      </c>
      <c r="V37" s="631">
        <v>0</v>
      </c>
      <c r="W37" s="662">
        <v>0</v>
      </c>
      <c r="X37" s="634">
        <v>0</v>
      </c>
    </row>
    <row r="38" spans="1:24" hidden="1" x14ac:dyDescent="0.2">
      <c r="A38" s="661">
        <v>1.6812710236877038</v>
      </c>
      <c r="B38" s="631">
        <v>0.1</v>
      </c>
      <c r="C38" s="662">
        <f t="shared" ref="C38" si="0">(C47-C37)/10*1+C37</f>
        <v>1.682710010282122</v>
      </c>
      <c r="D38" s="634">
        <v>0.1</v>
      </c>
      <c r="E38" s="661">
        <f t="shared" ref="E38" si="1">(E47-E37)/10*1+E37</f>
        <v>2.5112925362845924</v>
      </c>
      <c r="F38" s="631">
        <v>0.1</v>
      </c>
      <c r="G38" s="662">
        <f t="shared" ref="G38" si="2">(G47-G37)/10*1+G37</f>
        <v>3.9673403299609342</v>
      </c>
      <c r="H38" s="634">
        <v>0.1</v>
      </c>
      <c r="I38" s="661">
        <f t="shared" ref="I38" si="3">(I47-I37)/10*1+I37</f>
        <v>7.7205659059375948</v>
      </c>
      <c r="J38" s="631">
        <v>0.1</v>
      </c>
      <c r="K38" s="662">
        <f t="shared" ref="K38" si="4">(K47-K37)/10*1+K37</f>
        <v>13.406829684674056</v>
      </c>
      <c r="L38" s="634">
        <v>0.1</v>
      </c>
      <c r="M38" s="661">
        <f t="shared" ref="M38" si="5">(M47-M37)/10*1+M37</f>
        <v>10.430191291096607</v>
      </c>
      <c r="N38" s="631">
        <v>0.1</v>
      </c>
      <c r="O38" s="662">
        <f t="shared" ref="O38" si="6">(O47-O37)/10*1+O37</f>
        <v>12.960123781159064</v>
      </c>
      <c r="P38" s="634">
        <v>0.1</v>
      </c>
      <c r="Q38" s="661">
        <f>(Q47-Q37)/10*1+Q37</f>
        <v>16.899071525688534</v>
      </c>
      <c r="R38" s="631">
        <v>0.1</v>
      </c>
      <c r="S38" s="662">
        <f>(S47-S37)/10*1+S37</f>
        <v>23.240399918633194</v>
      </c>
      <c r="T38" s="634">
        <v>0.1</v>
      </c>
      <c r="U38" s="661">
        <f>(U47-U37)/10*1+U37</f>
        <v>25.453626361333242</v>
      </c>
      <c r="V38" s="631">
        <v>0.1</v>
      </c>
      <c r="W38" s="662">
        <f>(W47-W37)/10*1+W37</f>
        <v>32.157766276148379</v>
      </c>
      <c r="X38" s="634">
        <v>0.1</v>
      </c>
    </row>
    <row r="39" spans="1:24" hidden="1" x14ac:dyDescent="0.2">
      <c r="A39" s="661">
        <v>3.3625420473754075</v>
      </c>
      <c r="B39" s="631">
        <v>0.2</v>
      </c>
      <c r="C39" s="662">
        <f t="shared" ref="C39" si="7">(C47-C37)/10*2+C37</f>
        <v>3.3654200205642439</v>
      </c>
      <c r="D39" s="634">
        <v>0.2</v>
      </c>
      <c r="E39" s="661">
        <f t="shared" ref="E39" si="8">(E47-E37)/10*2+E37</f>
        <v>5.0225850725691847</v>
      </c>
      <c r="F39" s="631">
        <v>0.2</v>
      </c>
      <c r="G39" s="662">
        <f t="shared" ref="G39" si="9">(G47-G37)/10*2+G37</f>
        <v>7.9346806599218684</v>
      </c>
      <c r="H39" s="634">
        <v>0.2</v>
      </c>
      <c r="I39" s="661">
        <f t="shared" ref="I39" si="10">(I47-I37)/10*2+I37</f>
        <v>15.44113181187519</v>
      </c>
      <c r="J39" s="631">
        <v>0.2</v>
      </c>
      <c r="K39" s="662">
        <f t="shared" ref="K39" si="11">(K47-K37)/10*2+K37</f>
        <v>26.813659369348112</v>
      </c>
      <c r="L39" s="634">
        <v>0.2</v>
      </c>
      <c r="M39" s="661">
        <f t="shared" ref="M39" si="12">(M47-M37)/10*2+M37</f>
        <v>20.860382582193214</v>
      </c>
      <c r="N39" s="631">
        <v>0.2</v>
      </c>
      <c r="O39" s="662">
        <f t="shared" ref="O39" si="13">(O47-O37)/10*2+O37</f>
        <v>25.920247562318128</v>
      </c>
      <c r="P39" s="634">
        <v>0.2</v>
      </c>
      <c r="Q39" s="661">
        <f>(Q47-Q37)/10*2+Q37</f>
        <v>33.798143051377068</v>
      </c>
      <c r="R39" s="631">
        <v>0.2</v>
      </c>
      <c r="S39" s="662">
        <f>(S47-S37)/10*2+S37</f>
        <v>46.480799837266389</v>
      </c>
      <c r="T39" s="634">
        <v>0.2</v>
      </c>
      <c r="U39" s="661">
        <f>(U47-U37)/10*2+U37</f>
        <v>50.907252722666485</v>
      </c>
      <c r="V39" s="631">
        <v>0.2</v>
      </c>
      <c r="W39" s="662">
        <f>(W47-W37)/10*2+W37</f>
        <v>64.315532552296759</v>
      </c>
      <c r="X39" s="634">
        <v>0.2</v>
      </c>
    </row>
    <row r="40" spans="1:24" hidden="1" x14ac:dyDescent="0.2">
      <c r="A40" s="661">
        <v>5.0438130710631111</v>
      </c>
      <c r="B40" s="631">
        <v>0.3</v>
      </c>
      <c r="C40" s="662">
        <f t="shared" ref="C40" si="14">(C47-C37)/10*3+C37</f>
        <v>5.0481300308463659</v>
      </c>
      <c r="D40" s="634">
        <v>0.3</v>
      </c>
      <c r="E40" s="661">
        <f t="shared" ref="E40" si="15">(E47-E37)/10*3+E37</f>
        <v>7.5338776088537767</v>
      </c>
      <c r="F40" s="631">
        <v>0.3</v>
      </c>
      <c r="G40" s="662">
        <f t="shared" ref="G40" si="16">(G47-G37)/10*3+G37</f>
        <v>11.902020989882804</v>
      </c>
      <c r="H40" s="634">
        <v>0.3</v>
      </c>
      <c r="I40" s="661">
        <f t="shared" ref="I40" si="17">(I47-I37)/10*3+I37</f>
        <v>23.161697717812785</v>
      </c>
      <c r="J40" s="631">
        <v>0.3</v>
      </c>
      <c r="K40" s="662">
        <f t="shared" ref="K40" si="18">(K47-K37)/10*3+K37</f>
        <v>40.220489054022167</v>
      </c>
      <c r="L40" s="634">
        <v>0.3</v>
      </c>
      <c r="M40" s="661">
        <f t="shared" ref="M40" si="19">(M47-M37)/10*3+M37</f>
        <v>31.290573873289823</v>
      </c>
      <c r="N40" s="631">
        <v>0.3</v>
      </c>
      <c r="O40" s="662">
        <f t="shared" ref="O40" si="20">(O47-O37)/10*3+O37</f>
        <v>38.880371343477194</v>
      </c>
      <c r="P40" s="634">
        <v>0.3</v>
      </c>
      <c r="Q40" s="661">
        <f>(Q47-Q37)/10*3+Q37</f>
        <v>50.697214577065601</v>
      </c>
      <c r="R40" s="631">
        <v>0.3</v>
      </c>
      <c r="S40" s="662">
        <f>(S47-S37)/10*3+S37</f>
        <v>69.72119975589959</v>
      </c>
      <c r="T40" s="634">
        <v>0.3</v>
      </c>
      <c r="U40" s="661">
        <f>(U47-U37)/10*3+U37</f>
        <v>76.36087908399972</v>
      </c>
      <c r="V40" s="631">
        <v>0.3</v>
      </c>
      <c r="W40" s="662">
        <f>(W47-W37)/10*3+W37</f>
        <v>96.473298828445138</v>
      </c>
      <c r="X40" s="634">
        <v>0.3</v>
      </c>
    </row>
    <row r="41" spans="1:24" hidden="1" x14ac:dyDescent="0.2">
      <c r="A41" s="661">
        <v>6.725084094750815</v>
      </c>
      <c r="B41" s="631">
        <v>0.4</v>
      </c>
      <c r="C41" s="662">
        <f t="shared" ref="C41" si="21">(C47-C37)/10*4+C37</f>
        <v>6.7308400411284879</v>
      </c>
      <c r="D41" s="634">
        <v>0.4</v>
      </c>
      <c r="E41" s="661">
        <f t="shared" ref="E41" si="22">(E47-E37)/10*4+E37</f>
        <v>10.045170145138369</v>
      </c>
      <c r="F41" s="631">
        <v>0.4</v>
      </c>
      <c r="G41" s="662">
        <f t="shared" ref="G41" si="23">(G47-G37)/10*4+G37</f>
        <v>15.869361319843737</v>
      </c>
      <c r="H41" s="634">
        <v>0.4</v>
      </c>
      <c r="I41" s="661">
        <f t="shared" ref="I41" si="24">(I47-I37)/10*4+I37</f>
        <v>30.882263623750379</v>
      </c>
      <c r="J41" s="631">
        <v>0.4</v>
      </c>
      <c r="K41" s="662">
        <f t="shared" ref="K41" si="25">(K47-K37)/10*4+K37</f>
        <v>53.627318738696225</v>
      </c>
      <c r="L41" s="634">
        <v>0.4</v>
      </c>
      <c r="M41" s="661">
        <f t="shared" ref="M41" si="26">(M47-M37)/10*4+M37</f>
        <v>41.720765164386428</v>
      </c>
      <c r="N41" s="631">
        <v>0.4</v>
      </c>
      <c r="O41" s="662">
        <f t="shared" ref="O41" si="27">(O47-O37)/10*4+O37</f>
        <v>51.840495124636256</v>
      </c>
      <c r="P41" s="634">
        <v>0.4</v>
      </c>
      <c r="Q41" s="661">
        <f>(Q47-Q37)/10*4+Q37</f>
        <v>67.596286102754135</v>
      </c>
      <c r="R41" s="631">
        <v>0.4</v>
      </c>
      <c r="S41" s="662">
        <f>(S47-S37)/10*4+S37</f>
        <v>92.961599674532778</v>
      </c>
      <c r="T41" s="634">
        <v>0.4</v>
      </c>
      <c r="U41" s="661">
        <f>(U47-U37)/10*4+U37</f>
        <v>101.81450544533297</v>
      </c>
      <c r="V41" s="631">
        <v>0.4</v>
      </c>
      <c r="W41" s="662">
        <f>(W47-W37)/10*4+W37</f>
        <v>128.63106510459352</v>
      </c>
      <c r="X41" s="634">
        <v>0.4</v>
      </c>
    </row>
    <row r="42" spans="1:24" hidden="1" x14ac:dyDescent="0.2">
      <c r="A42" s="661">
        <v>8.406355118438519</v>
      </c>
      <c r="B42" s="631">
        <v>0.5</v>
      </c>
      <c r="C42" s="662">
        <f t="shared" ref="C42" si="28">(C47-C37)/10*5+C37</f>
        <v>8.4135500514106099</v>
      </c>
      <c r="D42" s="634">
        <v>0.5</v>
      </c>
      <c r="E42" s="661">
        <f t="shared" ref="E42" si="29">(E47-E37)/10*5+E37</f>
        <v>12.556462681422962</v>
      </c>
      <c r="F42" s="631">
        <v>0.5</v>
      </c>
      <c r="G42" s="662">
        <f t="shared" ref="G42" si="30">(G47-G37)/10*5+G37</f>
        <v>19.83670164980467</v>
      </c>
      <c r="H42" s="634">
        <v>0.5</v>
      </c>
      <c r="I42" s="661">
        <f t="shared" ref="I42" si="31">(I47-I37)/10*5+I37</f>
        <v>38.602829529687973</v>
      </c>
      <c r="J42" s="631">
        <v>0.5</v>
      </c>
      <c r="K42" s="662">
        <f t="shared" ref="K42" si="32">(K47-K37)/10*5+K37</f>
        <v>67.034148423370283</v>
      </c>
      <c r="L42" s="634">
        <v>0.5</v>
      </c>
      <c r="M42" s="661">
        <f t="shared" ref="M42" si="33">(M47-M37)/10*5+M37</f>
        <v>52.150956455483033</v>
      </c>
      <c r="N42" s="631">
        <v>0.5</v>
      </c>
      <c r="O42" s="662">
        <f t="shared" ref="O42" si="34">(O47-O37)/10*5+O37</f>
        <v>64.800618905795318</v>
      </c>
      <c r="P42" s="634">
        <v>0.5</v>
      </c>
      <c r="Q42" s="661">
        <f>(Q47-Q37)/10*5+Q37</f>
        <v>84.495357628442662</v>
      </c>
      <c r="R42" s="631">
        <v>0.5</v>
      </c>
      <c r="S42" s="662">
        <f>(S47-S37)/10*5+S37</f>
        <v>116.20199959316597</v>
      </c>
      <c r="T42" s="634">
        <v>0.5</v>
      </c>
      <c r="U42" s="661">
        <f>(U47-U37)/10*5+U37</f>
        <v>127.26813180666622</v>
      </c>
      <c r="V42" s="631">
        <v>0.5</v>
      </c>
      <c r="W42" s="662">
        <f>(W47-W37)/10*5+W37</f>
        <v>160.7888313807419</v>
      </c>
      <c r="X42" s="634">
        <v>0.5</v>
      </c>
    </row>
    <row r="43" spans="1:24" hidden="1" x14ac:dyDescent="0.2">
      <c r="A43" s="661">
        <v>10.087626142126222</v>
      </c>
      <c r="B43" s="631">
        <v>0.6</v>
      </c>
      <c r="C43" s="662">
        <f t="shared" ref="C43" si="35">(C47-C37)/10*6+C37</f>
        <v>10.096260061692732</v>
      </c>
      <c r="D43" s="634">
        <v>0.6</v>
      </c>
      <c r="E43" s="661">
        <f t="shared" ref="E43" si="36">(E47-E37)/10*6+E37</f>
        <v>15.067755217707553</v>
      </c>
      <c r="F43" s="631">
        <v>0.6</v>
      </c>
      <c r="G43" s="662">
        <f t="shared" ref="G43" si="37">(G47-G37)/10*6+G37</f>
        <v>23.804041979765607</v>
      </c>
      <c r="H43" s="634">
        <v>0.6</v>
      </c>
      <c r="I43" s="661">
        <f t="shared" ref="I43" si="38">(I47-I37)/10*6+I37</f>
        <v>46.323395435625571</v>
      </c>
      <c r="J43" s="631">
        <v>0.6</v>
      </c>
      <c r="K43" s="662">
        <f t="shared" ref="K43" si="39">(K47-K37)/10*6+K37</f>
        <v>80.440978108044334</v>
      </c>
      <c r="L43" s="634">
        <v>0.6</v>
      </c>
      <c r="M43" s="661">
        <f t="shared" ref="M43" si="40">(M47-M37)/10*6+M37</f>
        <v>62.581147746579646</v>
      </c>
      <c r="N43" s="631">
        <v>0.6</v>
      </c>
      <c r="O43" s="662">
        <f t="shared" ref="O43" si="41">(O47-O37)/10*6+O37</f>
        <v>77.760742686954387</v>
      </c>
      <c r="P43" s="634">
        <v>0.6</v>
      </c>
      <c r="Q43" s="661">
        <f>(Q47-Q37)/10*6+Q37</f>
        <v>101.3944291541312</v>
      </c>
      <c r="R43" s="631">
        <v>0.6</v>
      </c>
      <c r="S43" s="662">
        <f>(S47-S37)/10*6+S37</f>
        <v>139.44239951179918</v>
      </c>
      <c r="T43" s="634">
        <v>0.6</v>
      </c>
      <c r="U43" s="661">
        <f>(U47-U37)/10*6+U37</f>
        <v>152.72175816799944</v>
      </c>
      <c r="V43" s="631">
        <v>0.6</v>
      </c>
      <c r="W43" s="662">
        <f>(W47-W37)/10*6+W37</f>
        <v>192.94659765689028</v>
      </c>
      <c r="X43" s="634">
        <v>0.6</v>
      </c>
    </row>
    <row r="44" spans="1:24" hidden="1" x14ac:dyDescent="0.2">
      <c r="A44" s="661">
        <v>11.768897165813927</v>
      </c>
      <c r="B44" s="631">
        <v>0.7</v>
      </c>
      <c r="C44" s="662">
        <f t="shared" ref="C44" si="42">(C47-C37)/10*7+C37</f>
        <v>11.778970071974854</v>
      </c>
      <c r="D44" s="634">
        <v>0.7</v>
      </c>
      <c r="E44" s="661">
        <f t="shared" ref="E44" si="43">(E47-E37)/10*7+E37</f>
        <v>17.579047753992146</v>
      </c>
      <c r="F44" s="631">
        <v>0.7</v>
      </c>
      <c r="G44" s="662">
        <f t="shared" ref="G44" si="44">(G47-G37)/10*7+G37</f>
        <v>27.77138230972654</v>
      </c>
      <c r="H44" s="634">
        <v>0.7</v>
      </c>
      <c r="I44" s="661">
        <f t="shared" ref="I44" si="45">(I47-I37)/10*7+I37</f>
        <v>54.043961341563161</v>
      </c>
      <c r="J44" s="631">
        <v>0.7</v>
      </c>
      <c r="K44" s="662">
        <f>(K47-K37)/10*7+K37</f>
        <v>93.847807792718399</v>
      </c>
      <c r="L44" s="634">
        <v>0.7</v>
      </c>
      <c r="M44" s="661">
        <f t="shared" ref="M44" si="46">(M47-M37)/10*7+M37</f>
        <v>73.011339037676251</v>
      </c>
      <c r="N44" s="631">
        <v>0.7</v>
      </c>
      <c r="O44" s="662">
        <f t="shared" ref="O44" si="47">(O47-O37)/10*7+O37</f>
        <v>90.720866468113442</v>
      </c>
      <c r="P44" s="634">
        <v>0.7</v>
      </c>
      <c r="Q44" s="661">
        <f>(Q47-Q37)/10*7+Q37</f>
        <v>118.29350067981974</v>
      </c>
      <c r="R44" s="631">
        <v>0.7</v>
      </c>
      <c r="S44" s="662">
        <f>(S47-S37)/10*7+S37</f>
        <v>162.68279943043237</v>
      </c>
      <c r="T44" s="634">
        <v>0.7</v>
      </c>
      <c r="U44" s="661">
        <f>(U47-U37)/10*7+U37</f>
        <v>178.17538452933269</v>
      </c>
      <c r="V44" s="631">
        <v>0.7</v>
      </c>
      <c r="W44" s="662">
        <f>(W47-W37)/10*7+W37</f>
        <v>225.10436393303866</v>
      </c>
      <c r="X44" s="634">
        <v>0.7</v>
      </c>
    </row>
    <row r="45" spans="1:24" hidden="1" x14ac:dyDescent="0.2">
      <c r="A45" s="661">
        <v>13.45016818950163</v>
      </c>
      <c r="B45" s="631">
        <v>0.8</v>
      </c>
      <c r="C45" s="662">
        <f t="shared" ref="C45" si="48">(C47-C37)/10*8+C37</f>
        <v>13.461680082256976</v>
      </c>
      <c r="D45" s="634">
        <v>0.8</v>
      </c>
      <c r="E45" s="661">
        <f t="shared" ref="E45" si="49">(E47-E37)/10*8+E37</f>
        <v>20.090340290276739</v>
      </c>
      <c r="F45" s="631">
        <v>0.8</v>
      </c>
      <c r="G45" s="662">
        <f t="shared" ref="G45" si="50">(G47-G37)/10*8+G37</f>
        <v>31.738722639687474</v>
      </c>
      <c r="H45" s="634">
        <v>0.8</v>
      </c>
      <c r="I45" s="661">
        <f t="shared" ref="I45" si="51">(I47-I37)/10*8+I37</f>
        <v>61.764527247500759</v>
      </c>
      <c r="J45" s="631">
        <v>0.8</v>
      </c>
      <c r="K45" s="662">
        <f t="shared" ref="K45" si="52">(K47-K37)/10*8+K37</f>
        <v>107.25463747739245</v>
      </c>
      <c r="L45" s="634">
        <v>0.8</v>
      </c>
      <c r="M45" s="661">
        <f t="shared" ref="M45" si="53">(M47-M37)/10*8+M37</f>
        <v>83.441530328772856</v>
      </c>
      <c r="N45" s="631">
        <v>0.8</v>
      </c>
      <c r="O45" s="662">
        <f t="shared" ref="O45" si="54">(O47-O37)/10*8+O37</f>
        <v>103.68099024927251</v>
      </c>
      <c r="P45" s="634">
        <v>0.8</v>
      </c>
      <c r="Q45" s="661">
        <f>(Q47-Q37)/10*8+Q37</f>
        <v>135.19257220550827</v>
      </c>
      <c r="R45" s="631">
        <v>0.8</v>
      </c>
      <c r="S45" s="662">
        <f>(S47-S37)/10*8+S37</f>
        <v>185.92319934906556</v>
      </c>
      <c r="T45" s="634">
        <v>0.8</v>
      </c>
      <c r="U45" s="661">
        <f>(U47-U37)/10*8+U37</f>
        <v>203.62901089066594</v>
      </c>
      <c r="V45" s="631">
        <v>0.8</v>
      </c>
      <c r="W45" s="662">
        <f>(W47-W37)/10*8+W37</f>
        <v>257.26213020918703</v>
      </c>
      <c r="X45" s="634">
        <v>0.8</v>
      </c>
    </row>
    <row r="46" spans="1:24" hidden="1" x14ac:dyDescent="0.2">
      <c r="A46" s="661">
        <v>15.131439213189333</v>
      </c>
      <c r="B46" s="631">
        <v>0.9</v>
      </c>
      <c r="C46" s="662">
        <f t="shared" ref="C46" si="55">(C47-C37)/10*9+C37</f>
        <v>15.144390092539098</v>
      </c>
      <c r="D46" s="634">
        <v>0.9</v>
      </c>
      <c r="E46" s="661">
        <f t="shared" ref="E46" si="56">(E47-E37)/10*9+E37</f>
        <v>22.601632826561332</v>
      </c>
      <c r="F46" s="631">
        <v>0.9</v>
      </c>
      <c r="G46" s="662">
        <f t="shared" ref="G46" si="57">(G47-G37)/10*9+G37</f>
        <v>35.706062969648407</v>
      </c>
      <c r="H46" s="634">
        <v>0.9</v>
      </c>
      <c r="I46" s="661">
        <f t="shared" ref="I46" si="58">(I47-I37)/10*9+I37</f>
        <v>69.485093153438356</v>
      </c>
      <c r="J46" s="631">
        <v>0.9</v>
      </c>
      <c r="K46" s="662">
        <f t="shared" ref="K46" si="59">(K47-K37)/10*9+K37</f>
        <v>120.6614671620665</v>
      </c>
      <c r="L46" s="634">
        <v>0.9</v>
      </c>
      <c r="M46" s="661">
        <f t="shared" ref="M46" si="60">(M47-M37)/10*9+M37</f>
        <v>93.871721619869462</v>
      </c>
      <c r="N46" s="631">
        <v>0.9</v>
      </c>
      <c r="O46" s="662">
        <f t="shared" ref="O46" si="61">(O47-O37)/10*9+O37</f>
        <v>116.64111403043158</v>
      </c>
      <c r="P46" s="634">
        <v>0.9</v>
      </c>
      <c r="Q46" s="661">
        <f>(Q47-Q37)/10*9+Q37</f>
        <v>152.0916437311968</v>
      </c>
      <c r="R46" s="631">
        <v>0.9</v>
      </c>
      <c r="S46" s="662">
        <f>(S47-S37)/10*9+S37</f>
        <v>209.16359926769874</v>
      </c>
      <c r="T46" s="634">
        <v>0.9</v>
      </c>
      <c r="U46" s="661">
        <f>(U47-U37)/10*9+U37</f>
        <v>229.08263725199919</v>
      </c>
      <c r="V46" s="631">
        <v>0.9</v>
      </c>
      <c r="W46" s="662">
        <f>(W47-W37)/10*9+W37</f>
        <v>289.41989648533541</v>
      </c>
      <c r="X46" s="634">
        <v>0.9</v>
      </c>
    </row>
    <row r="47" spans="1:24" hidden="1" x14ac:dyDescent="0.2">
      <c r="A47" s="661">
        <v>16.812710236877038</v>
      </c>
      <c r="B47" s="631">
        <v>1</v>
      </c>
      <c r="C47" s="662">
        <v>16.82710010282122</v>
      </c>
      <c r="D47" s="634">
        <v>1</v>
      </c>
      <c r="E47" s="661">
        <v>25.112925362845925</v>
      </c>
      <c r="F47" s="631">
        <v>1</v>
      </c>
      <c r="G47" s="662">
        <v>39.67340329960934</v>
      </c>
      <c r="H47" s="634">
        <v>1</v>
      </c>
      <c r="I47" s="661">
        <v>77.205659059375947</v>
      </c>
      <c r="J47" s="631">
        <v>1</v>
      </c>
      <c r="K47" s="662">
        <v>134.06829684674057</v>
      </c>
      <c r="L47" s="634">
        <v>1</v>
      </c>
      <c r="M47" s="661">
        <v>104.30191291096607</v>
      </c>
      <c r="N47" s="631">
        <v>1</v>
      </c>
      <c r="O47" s="662">
        <v>129.60123781159064</v>
      </c>
      <c r="P47" s="634">
        <v>1</v>
      </c>
      <c r="Q47" s="661">
        <v>168.99071525688535</v>
      </c>
      <c r="R47" s="631">
        <v>1</v>
      </c>
      <c r="S47" s="662">
        <v>232.40399918633193</v>
      </c>
      <c r="T47" s="634">
        <v>1</v>
      </c>
      <c r="U47" s="661">
        <v>254.53626361333244</v>
      </c>
      <c r="V47" s="631">
        <v>1</v>
      </c>
      <c r="W47" s="662">
        <v>321.57766276148379</v>
      </c>
      <c r="X47" s="634">
        <v>1</v>
      </c>
    </row>
    <row r="48" spans="1:24" hidden="1" x14ac:dyDescent="0.2">
      <c r="A48" s="661">
        <v>17.650516983796461</v>
      </c>
      <c r="B48" s="631">
        <v>1.1000000000000001</v>
      </c>
      <c r="C48" s="662">
        <f t="shared" ref="C48" si="62">(C57-C47)/10*1+C47</f>
        <v>18.3265536132816</v>
      </c>
      <c r="D48" s="634">
        <v>1.1000000000000001</v>
      </c>
      <c r="E48" s="661">
        <f t="shared" ref="E48" si="63">(E57-E47)/10*1+E47</f>
        <v>26.991378013144093</v>
      </c>
      <c r="F48" s="631">
        <v>1.1000000000000001</v>
      </c>
      <c r="G48" s="662">
        <f t="shared" ref="G48" si="64">(G57-G47)/10*1+G47</f>
        <v>42.479301586268825</v>
      </c>
      <c r="H48" s="634">
        <v>1.1000000000000001</v>
      </c>
      <c r="I48" s="661">
        <f t="shared" ref="I48" si="65">(I57-I47)/10*1+I47</f>
        <v>81.119595799523154</v>
      </c>
      <c r="J48" s="631">
        <v>1.1000000000000001</v>
      </c>
      <c r="K48" s="662">
        <f t="shared" ref="K48" si="66">(K57-K47)/10*1+K47</f>
        <v>138.80573026049052</v>
      </c>
      <c r="L48" s="634">
        <v>1.1000000000000001</v>
      </c>
      <c r="M48" s="661">
        <f t="shared" ref="M48" si="67">(M57-M47)/10*1+M47</f>
        <v>109.40933830289586</v>
      </c>
      <c r="N48" s="631">
        <v>1.1000000000000001</v>
      </c>
      <c r="O48" s="662">
        <f t="shared" ref="O48" si="68">(O57-O47)/10*1+O47</f>
        <v>138.33360446259397</v>
      </c>
      <c r="P48" s="634">
        <v>1.1000000000000001</v>
      </c>
      <c r="Q48" s="661">
        <f>(Q57-Q47)/10*1+Q47</f>
        <v>181.89494603821541</v>
      </c>
      <c r="R48" s="631">
        <v>1.1000000000000001</v>
      </c>
      <c r="S48" s="662">
        <f>(S57-S47)/10*1+S47</f>
        <v>247.53871798920323</v>
      </c>
      <c r="T48" s="634">
        <v>1.1000000000000001</v>
      </c>
      <c r="U48" s="661">
        <f>(U57-U47)/10*1+U47</f>
        <v>269.2989202128702</v>
      </c>
      <c r="V48" s="631">
        <v>1.1000000000000001</v>
      </c>
      <c r="W48" s="662">
        <f>(W57-W47)/10*1+W47</f>
        <v>345.9495368534138</v>
      </c>
      <c r="X48" s="634">
        <v>1.1000000000000001</v>
      </c>
    </row>
    <row r="49" spans="1:24" hidden="1" x14ac:dyDescent="0.2">
      <c r="A49" s="661">
        <v>18.488323730715884</v>
      </c>
      <c r="B49" s="631">
        <v>1.2</v>
      </c>
      <c r="C49" s="662">
        <f t="shared" ref="C49" si="69">(C57-C47)/10*2+C47</f>
        <v>19.826007123741981</v>
      </c>
      <c r="D49" s="634">
        <v>1.2</v>
      </c>
      <c r="E49" s="661">
        <f t="shared" ref="E49" si="70">(E57-E47)/10*2+E47</f>
        <v>28.869830663442265</v>
      </c>
      <c r="F49" s="631">
        <v>1.2</v>
      </c>
      <c r="G49" s="662">
        <f t="shared" ref="G49" si="71">(G57-G47)/10*2+G47</f>
        <v>45.28519987292831</v>
      </c>
      <c r="H49" s="634">
        <v>1.2</v>
      </c>
      <c r="I49" s="661">
        <f t="shared" ref="I49" si="72">(I57-I47)/10*2+I47</f>
        <v>85.033532539670347</v>
      </c>
      <c r="J49" s="631">
        <v>1.2</v>
      </c>
      <c r="K49" s="662">
        <f t="shared" ref="K49" si="73">(K57-K47)/10*2+K47</f>
        <v>143.5431636742405</v>
      </c>
      <c r="L49" s="634">
        <v>1.2</v>
      </c>
      <c r="M49" s="661">
        <f t="shared" ref="M49" si="74">(M57-M47)/10*2+M47</f>
        <v>114.51676369482566</v>
      </c>
      <c r="N49" s="631">
        <v>1.2</v>
      </c>
      <c r="O49" s="662">
        <f t="shared" ref="O49" si="75">(O57-O47)/10*2+O47</f>
        <v>147.06597111359727</v>
      </c>
      <c r="P49" s="634">
        <v>1.2</v>
      </c>
      <c r="Q49" s="661">
        <f>(Q57-Q47)/10*2+Q47</f>
        <v>194.79917681954547</v>
      </c>
      <c r="R49" s="631">
        <v>1.2</v>
      </c>
      <c r="S49" s="662">
        <f>(S57-S47)/10*2+S47</f>
        <v>262.67343679207454</v>
      </c>
      <c r="T49" s="634">
        <v>1.2</v>
      </c>
      <c r="U49" s="661">
        <f>(U57-U47)/10*2+U47</f>
        <v>284.06157681240791</v>
      </c>
      <c r="V49" s="631">
        <v>1.2</v>
      </c>
      <c r="W49" s="662">
        <f>(W57-W47)/10*2+W47</f>
        <v>370.32141094534381</v>
      </c>
      <c r="X49" s="634">
        <v>1.2</v>
      </c>
    </row>
    <row r="50" spans="1:24" hidden="1" x14ac:dyDescent="0.2">
      <c r="A50" s="661">
        <v>19.32613047763531</v>
      </c>
      <c r="B50" s="631">
        <v>1.3</v>
      </c>
      <c r="C50" s="662">
        <f t="shared" ref="C50" si="76">(C57-C47)/10*3+C47</f>
        <v>21.325460634202365</v>
      </c>
      <c r="D50" s="634">
        <v>1.3</v>
      </c>
      <c r="E50" s="661">
        <f t="shared" ref="E50" si="77">(E57-E47)/10*3+E47</f>
        <v>30.748283313740437</v>
      </c>
      <c r="F50" s="631">
        <v>1.3</v>
      </c>
      <c r="G50" s="662">
        <f t="shared" ref="G50" si="78">(G57-G47)/10*3+G47</f>
        <v>48.091098159587787</v>
      </c>
      <c r="H50" s="634">
        <v>1.3</v>
      </c>
      <c r="I50" s="661">
        <f t="shared" ref="I50" si="79">(I57-I47)/10*3+I47</f>
        <v>88.947469279817554</v>
      </c>
      <c r="J50" s="631">
        <v>1.3</v>
      </c>
      <c r="K50" s="662">
        <f t="shared" ref="K50" si="80">(K57-K47)/10*3+K47</f>
        <v>148.28059708799046</v>
      </c>
      <c r="L50" s="634">
        <v>1.3</v>
      </c>
      <c r="M50" s="661">
        <f t="shared" ref="M50" si="81">(M57-M47)/10*3+M47</f>
        <v>119.62418908675545</v>
      </c>
      <c r="N50" s="631">
        <v>1.3</v>
      </c>
      <c r="O50" s="662">
        <f t="shared" ref="O50" si="82">(O57-O47)/10*3+O47</f>
        <v>155.7983377646006</v>
      </c>
      <c r="P50" s="634">
        <v>1.3</v>
      </c>
      <c r="Q50" s="661">
        <f>(Q57-Q47)/10*3+Q47</f>
        <v>207.70340760087555</v>
      </c>
      <c r="R50" s="631">
        <v>1.3</v>
      </c>
      <c r="S50" s="662">
        <f>(S57-S47)/10*3+S47</f>
        <v>277.80815559494584</v>
      </c>
      <c r="T50" s="634">
        <v>1.3</v>
      </c>
      <c r="U50" s="661">
        <f>(U57-U47)/10*3+U47</f>
        <v>298.82423341194567</v>
      </c>
      <c r="V50" s="631">
        <v>1.3</v>
      </c>
      <c r="W50" s="662">
        <f>(W57-W47)/10*3+W47</f>
        <v>394.69328503727388</v>
      </c>
      <c r="X50" s="634">
        <v>1.3</v>
      </c>
    </row>
    <row r="51" spans="1:24" hidden="1" x14ac:dyDescent="0.2">
      <c r="A51" s="661">
        <v>20.163937224554733</v>
      </c>
      <c r="B51" s="631">
        <v>1.4</v>
      </c>
      <c r="C51" s="662">
        <f t="shared" ref="C51" si="83">(C57-C47)/10*4+C47</f>
        <v>22.824914144662742</v>
      </c>
      <c r="D51" s="634">
        <v>1.4</v>
      </c>
      <c r="E51" s="661">
        <f t="shared" ref="E51" si="84">(E57-E47)/10*4+E47</f>
        <v>32.626735964038602</v>
      </c>
      <c r="F51" s="631">
        <v>1.4</v>
      </c>
      <c r="G51" s="662">
        <f t="shared" ref="G51" si="85">(G57-G47)/10*4+G47</f>
        <v>50.896996446247272</v>
      </c>
      <c r="H51" s="634">
        <v>1.4</v>
      </c>
      <c r="I51" s="661">
        <f t="shared" ref="I51" si="86">(I57-I47)/10*4+I47</f>
        <v>92.861406019964761</v>
      </c>
      <c r="J51" s="631">
        <v>1.4</v>
      </c>
      <c r="K51" s="662">
        <f t="shared" ref="K51" si="87">(K57-K47)/10*4+K47</f>
        <v>153.01803050174044</v>
      </c>
      <c r="L51" s="634">
        <v>1.4</v>
      </c>
      <c r="M51" s="661">
        <f t="shared" ref="M51" si="88">(M57-M47)/10*4+M47</f>
        <v>124.73161447868526</v>
      </c>
      <c r="N51" s="631">
        <v>1.4</v>
      </c>
      <c r="O51" s="662">
        <f t="shared" ref="O51" si="89">(O57-O47)/10*4+O47</f>
        <v>164.53070441560391</v>
      </c>
      <c r="P51" s="634">
        <v>1.4</v>
      </c>
      <c r="Q51" s="661">
        <f>(Q57-Q47)/10*4+Q47</f>
        <v>220.60763838220561</v>
      </c>
      <c r="R51" s="631">
        <v>1.4</v>
      </c>
      <c r="S51" s="662">
        <f>(S57-S47)/10*4+S47</f>
        <v>292.94287439781715</v>
      </c>
      <c r="T51" s="634">
        <v>1.4</v>
      </c>
      <c r="U51" s="661">
        <f>(U57-U47)/10*4+U47</f>
        <v>313.58689001148343</v>
      </c>
      <c r="V51" s="631">
        <v>1.4</v>
      </c>
      <c r="W51" s="662">
        <f>(W57-W47)/10*4+W47</f>
        <v>419.06515912920389</v>
      </c>
      <c r="X51" s="634">
        <v>1.4</v>
      </c>
    </row>
    <row r="52" spans="1:24" hidden="1" x14ac:dyDescent="0.2">
      <c r="A52" s="661">
        <v>21.001743971474156</v>
      </c>
      <c r="B52" s="631">
        <v>1.5</v>
      </c>
      <c r="C52" s="662">
        <f t="shared" ref="C52" si="90">(C57-C47)/10*5+C47</f>
        <v>24.324367655123126</v>
      </c>
      <c r="D52" s="634">
        <v>1.5</v>
      </c>
      <c r="E52" s="661">
        <f t="shared" ref="E52" si="91">(E57-E47)/10*5+E47</f>
        <v>34.505188614336774</v>
      </c>
      <c r="F52" s="631">
        <v>1.5</v>
      </c>
      <c r="G52" s="662">
        <f t="shared" ref="G52" si="92">(G57-G47)/10*5+G47</f>
        <v>53.702894732906756</v>
      </c>
      <c r="H52" s="634">
        <v>1.5</v>
      </c>
      <c r="I52" s="661">
        <f t="shared" ref="I52" si="93">(I57-I47)/10*5+I47</f>
        <v>96.775342760111954</v>
      </c>
      <c r="J52" s="631">
        <v>1.5</v>
      </c>
      <c r="K52" s="662">
        <f t="shared" ref="K52" si="94">(K57-K47)/10*5+K47</f>
        <v>157.7554639154904</v>
      </c>
      <c r="L52" s="634">
        <v>1.5</v>
      </c>
      <c r="M52" s="661">
        <f t="shared" ref="M52" si="95">(M57-M47)/10*5+M47</f>
        <v>129.83903987061504</v>
      </c>
      <c r="N52" s="631">
        <v>1.5</v>
      </c>
      <c r="O52" s="662">
        <f t="shared" ref="O52" si="96">(O57-O47)/10*5+O47</f>
        <v>173.26307106660724</v>
      </c>
      <c r="P52" s="634">
        <v>1.5</v>
      </c>
      <c r="Q52" s="661">
        <f>(Q57-Q47)/10*5+Q47</f>
        <v>233.51186916353566</v>
      </c>
      <c r="R52" s="631">
        <v>1.5</v>
      </c>
      <c r="S52" s="662">
        <f>(S57-S47)/10*5+S47</f>
        <v>308.0775932006884</v>
      </c>
      <c r="T52" s="634">
        <v>1.5</v>
      </c>
      <c r="U52" s="661">
        <f>(U57-U47)/10*5+U47</f>
        <v>328.3495466110212</v>
      </c>
      <c r="V52" s="631">
        <v>1.5</v>
      </c>
      <c r="W52" s="662">
        <f>(W57-W47)/10*5+W47</f>
        <v>443.4370332211339</v>
      </c>
      <c r="X52" s="634">
        <v>1.5</v>
      </c>
    </row>
    <row r="53" spans="1:24" hidden="1" x14ac:dyDescent="0.2">
      <c r="A53" s="661">
        <v>21.839550718393578</v>
      </c>
      <c r="B53" s="631">
        <v>1.6</v>
      </c>
      <c r="C53" s="662">
        <f t="shared" ref="C53" si="97">(C57-C47)/10*6+C47</f>
        <v>25.823821165583507</v>
      </c>
      <c r="D53" s="634">
        <v>1.6</v>
      </c>
      <c r="E53" s="661">
        <f t="shared" ref="E53" si="98">(E57-E47)/10*6+E47</f>
        <v>36.383641264634946</v>
      </c>
      <c r="F53" s="631">
        <v>1.6</v>
      </c>
      <c r="G53" s="662">
        <f t="shared" ref="G53" si="99">(G57-G47)/10*6+G47</f>
        <v>56.508793019566241</v>
      </c>
      <c r="H53" s="634">
        <v>1.6</v>
      </c>
      <c r="I53" s="661">
        <f t="shared" ref="I53" si="100">(I57-I47)/10*6+I47</f>
        <v>100.68927950025916</v>
      </c>
      <c r="J53" s="631">
        <v>1.6</v>
      </c>
      <c r="K53" s="662">
        <f t="shared" ref="K53" si="101">(K57-K47)/10*6+K47</f>
        <v>162.49289732924035</v>
      </c>
      <c r="L53" s="634">
        <v>1.6</v>
      </c>
      <c r="M53" s="661">
        <f t="shared" ref="M53" si="102">(M57-M47)/10*6+M47</f>
        <v>134.94646526254485</v>
      </c>
      <c r="N53" s="631">
        <v>1.6</v>
      </c>
      <c r="O53" s="662">
        <f t="shared" ref="O53" si="103">(O57-O47)/10*6+O47</f>
        <v>181.99543771761057</v>
      </c>
      <c r="P53" s="634">
        <v>1.6</v>
      </c>
      <c r="Q53" s="661">
        <f>(Q57-Q47)/10*6+Q47</f>
        <v>246.41609994486572</v>
      </c>
      <c r="R53" s="631">
        <v>1.6</v>
      </c>
      <c r="S53" s="662">
        <f>(S57-S47)/10*6+S47</f>
        <v>323.21231200355976</v>
      </c>
      <c r="T53" s="634">
        <v>1.6</v>
      </c>
      <c r="U53" s="661">
        <f>(U57-U47)/10*6+U47</f>
        <v>343.1122032105589</v>
      </c>
      <c r="V53" s="631">
        <v>1.6</v>
      </c>
      <c r="W53" s="662">
        <f>(W57-W47)/10*6+W47</f>
        <v>467.80890731306391</v>
      </c>
      <c r="X53" s="634">
        <v>1.6</v>
      </c>
    </row>
    <row r="54" spans="1:24" hidden="1" x14ac:dyDescent="0.2">
      <c r="A54" s="661">
        <v>22.677357465313001</v>
      </c>
      <c r="B54" s="631">
        <v>1.7</v>
      </c>
      <c r="C54" s="662">
        <f t="shared" ref="C54" si="104">(C57-C47)/10*7+C47</f>
        <v>27.323274676043887</v>
      </c>
      <c r="D54" s="634">
        <v>1.7</v>
      </c>
      <c r="E54" s="661">
        <f t="shared" ref="E54" si="105">(E57-E47)/10*7+E47</f>
        <v>38.262093914933118</v>
      </c>
      <c r="F54" s="631">
        <v>1.7</v>
      </c>
      <c r="G54" s="662">
        <f t="shared" ref="G54" si="106">(G57-G47)/10*7+G47</f>
        <v>59.314691306225725</v>
      </c>
      <c r="H54" s="634">
        <v>1.7</v>
      </c>
      <c r="I54" s="661">
        <f t="shared" ref="I54" si="107">(I57-I47)/10*7+I47</f>
        <v>104.60321624040637</v>
      </c>
      <c r="J54" s="631">
        <v>1.7</v>
      </c>
      <c r="K54" s="662">
        <f t="shared" ref="K54" si="108">(K57-K47)/10*7+K47</f>
        <v>167.23033074299033</v>
      </c>
      <c r="L54" s="634">
        <v>1.7</v>
      </c>
      <c r="M54" s="661">
        <f t="shared" ref="M54" si="109">(M57-M47)/10*7+M47</f>
        <v>140.05389065447463</v>
      </c>
      <c r="N54" s="631">
        <v>1.7</v>
      </c>
      <c r="O54" s="662">
        <f t="shared" ref="O54" si="110">(O57-O47)/10*7+O47</f>
        <v>190.72780436861387</v>
      </c>
      <c r="P54" s="634">
        <v>1.7</v>
      </c>
      <c r="Q54" s="661">
        <f>(Q57-Q47)/10*7+Q47</f>
        <v>259.32033072619578</v>
      </c>
      <c r="R54" s="631">
        <v>1.7</v>
      </c>
      <c r="S54" s="662">
        <f>(S57-S47)/10*7+S47</f>
        <v>338.34703080643101</v>
      </c>
      <c r="T54" s="634">
        <v>1.7</v>
      </c>
      <c r="U54" s="661">
        <f>(U57-U47)/10*7+U47</f>
        <v>357.87485981009667</v>
      </c>
      <c r="V54" s="631">
        <v>1.7</v>
      </c>
      <c r="W54" s="662">
        <f>(W57-W47)/10*7+W47</f>
        <v>492.18078140499392</v>
      </c>
      <c r="X54" s="634">
        <v>1.7</v>
      </c>
    </row>
    <row r="55" spans="1:24" hidden="1" x14ac:dyDescent="0.2">
      <c r="A55" s="661">
        <v>23.515164212232428</v>
      </c>
      <c r="B55" s="631">
        <v>1.8</v>
      </c>
      <c r="C55" s="662">
        <f t="shared" ref="C55" si="111">(C57-C47)/10*8+C47</f>
        <v>28.822728186504268</v>
      </c>
      <c r="D55" s="634">
        <v>1.8</v>
      </c>
      <c r="E55" s="661">
        <f t="shared" ref="E55" si="112">(E57-E47)/10*8+E47</f>
        <v>40.14054656523129</v>
      </c>
      <c r="F55" s="631">
        <v>1.8</v>
      </c>
      <c r="G55" s="662">
        <f t="shared" ref="G55" si="113">(G57-G47)/10*8+G47</f>
        <v>62.12058959288521</v>
      </c>
      <c r="H55" s="634">
        <v>1.8</v>
      </c>
      <c r="I55" s="661">
        <f t="shared" ref="I55" si="114">(I57-I47)/10*8+I47</f>
        <v>108.51715298055356</v>
      </c>
      <c r="J55" s="631">
        <v>1.8</v>
      </c>
      <c r="K55" s="662">
        <f t="shared" ref="K55" si="115">(K57-K47)/10*8+K47</f>
        <v>171.96776415674029</v>
      </c>
      <c r="L55" s="634">
        <v>1.8</v>
      </c>
      <c r="M55" s="661">
        <f t="shared" ref="M55" si="116">(M57-M47)/10*8+M47</f>
        <v>145.16131604640444</v>
      </c>
      <c r="N55" s="631">
        <v>1.8</v>
      </c>
      <c r="O55" s="662">
        <f t="shared" ref="O55" si="117">(O57-O47)/10*8+O47</f>
        <v>199.46017101961721</v>
      </c>
      <c r="P55" s="634">
        <v>1.8</v>
      </c>
      <c r="Q55" s="661">
        <f>(Q57-Q47)/10*8+Q47</f>
        <v>272.22456150752583</v>
      </c>
      <c r="R55" s="631">
        <v>1.8</v>
      </c>
      <c r="S55" s="662">
        <f>(S57-S47)/10*8+S47</f>
        <v>353.48174960930231</v>
      </c>
      <c r="T55" s="634">
        <v>1.8</v>
      </c>
      <c r="U55" s="661">
        <f>(U57-U47)/10*8+U47</f>
        <v>372.63751640963437</v>
      </c>
      <c r="V55" s="631">
        <v>1.8</v>
      </c>
      <c r="W55" s="662">
        <f>(W57-W47)/10*8+W47</f>
        <v>516.55265549692399</v>
      </c>
      <c r="X55" s="634">
        <v>1.8</v>
      </c>
    </row>
    <row r="56" spans="1:24" hidden="1" x14ac:dyDescent="0.2">
      <c r="A56" s="661">
        <v>24.35297095915185</v>
      </c>
      <c r="B56" s="631">
        <v>1.9</v>
      </c>
      <c r="C56" s="662">
        <f t="shared" ref="C56" si="118">(C57-C47)/10*9+C47</f>
        <v>30.322181696964648</v>
      </c>
      <c r="D56" s="634">
        <v>1.9</v>
      </c>
      <c r="E56" s="661">
        <f t="shared" ref="E56" si="119">(E57-E47)/10*9+E47</f>
        <v>42.018999215529462</v>
      </c>
      <c r="F56" s="631">
        <v>1.9</v>
      </c>
      <c r="G56" s="662">
        <f t="shared" ref="G56" si="120">(G57-G47)/10*9+G47</f>
        <v>64.926487879544695</v>
      </c>
      <c r="H56" s="634">
        <v>1.9</v>
      </c>
      <c r="I56" s="661">
        <f t="shared" ref="I56" si="121">(I57-I47)/10*9+I47</f>
        <v>112.43108972070077</v>
      </c>
      <c r="J56" s="631">
        <v>1.9</v>
      </c>
      <c r="K56" s="662">
        <f t="shared" ref="K56" si="122">(K57-K47)/10*9+K47</f>
        <v>176.70519757049027</v>
      </c>
      <c r="L56" s="634">
        <v>1.9</v>
      </c>
      <c r="M56" s="661">
        <f t="shared" ref="M56" si="123">(M57-M47)/10*9+M47</f>
        <v>150.26874143833425</v>
      </c>
      <c r="N56" s="631">
        <v>1.9</v>
      </c>
      <c r="O56" s="662">
        <f t="shared" ref="O56" si="124">(O57-O47)/10*9+O47</f>
        <v>208.19253767062054</v>
      </c>
      <c r="P56" s="634">
        <v>1.9</v>
      </c>
      <c r="Q56" s="661">
        <f>(Q57-Q47)/10*9+Q47</f>
        <v>285.12879228885589</v>
      </c>
      <c r="R56" s="631">
        <v>1.9</v>
      </c>
      <c r="S56" s="662">
        <f>(S57-S47)/10*9+S47</f>
        <v>368.61646841217362</v>
      </c>
      <c r="T56" s="634">
        <v>1.9</v>
      </c>
      <c r="U56" s="661">
        <f>(U57-U47)/10*9+U47</f>
        <v>387.40017300917214</v>
      </c>
      <c r="V56" s="631">
        <v>1.9</v>
      </c>
      <c r="W56" s="662">
        <f>(W57-W47)/10*9+W47</f>
        <v>540.92452958885394</v>
      </c>
      <c r="X56" s="634">
        <v>1.9</v>
      </c>
    </row>
    <row r="57" spans="1:24" hidden="1" x14ac:dyDescent="0.2">
      <c r="A57" s="661">
        <v>25.190777706071273</v>
      </c>
      <c r="B57" s="631">
        <v>2</v>
      </c>
      <c r="C57" s="662">
        <v>31.821635207425029</v>
      </c>
      <c r="D57" s="634">
        <v>2</v>
      </c>
      <c r="E57" s="661">
        <v>43.897451865827627</v>
      </c>
      <c r="F57" s="631">
        <v>2</v>
      </c>
      <c r="G57" s="662">
        <v>67.732386166204179</v>
      </c>
      <c r="H57" s="634">
        <v>2</v>
      </c>
      <c r="I57" s="661">
        <v>116.34502646084798</v>
      </c>
      <c r="J57" s="631">
        <v>2</v>
      </c>
      <c r="K57" s="662">
        <v>181.44263098424022</v>
      </c>
      <c r="L57" s="634">
        <v>2</v>
      </c>
      <c r="M57" s="661">
        <v>155.37616683026403</v>
      </c>
      <c r="N57" s="631">
        <v>2</v>
      </c>
      <c r="O57" s="662">
        <v>216.92490432162384</v>
      </c>
      <c r="P57" s="634">
        <v>2</v>
      </c>
      <c r="Q57" s="661">
        <v>298.03302307018595</v>
      </c>
      <c r="R57" s="631">
        <v>2</v>
      </c>
      <c r="S57" s="662">
        <v>383.75118721504492</v>
      </c>
      <c r="T57" s="634">
        <v>2</v>
      </c>
      <c r="U57" s="661">
        <v>402.1628296087099</v>
      </c>
      <c r="V57" s="631">
        <v>2</v>
      </c>
      <c r="W57" s="662">
        <v>565.29640368078401</v>
      </c>
      <c r="X57" s="634">
        <v>2</v>
      </c>
    </row>
    <row r="58" spans="1:24" hidden="1" x14ac:dyDescent="0.2">
      <c r="A58" s="661">
        <v>25.980242731406637</v>
      </c>
      <c r="B58" s="631">
        <v>2.1</v>
      </c>
      <c r="C58" s="662">
        <f t="shared" ref="C58" si="125">(C67-C57)/10*1+C57</f>
        <v>32.697102706578477</v>
      </c>
      <c r="D58" s="634">
        <v>2.1</v>
      </c>
      <c r="E58" s="661">
        <f t="shared" ref="E58" si="126">(E67-E57)/10*1+E57</f>
        <v>45.459781114252571</v>
      </c>
      <c r="F58" s="631">
        <v>2.1</v>
      </c>
      <c r="G58" s="662">
        <f t="shared" ref="G58" si="127">(G67-G57)/10*1+G57</f>
        <v>70.283388251744498</v>
      </c>
      <c r="H58" s="634">
        <v>2.1</v>
      </c>
      <c r="I58" s="661">
        <f t="shared" ref="I58" si="128">(I67-I57)/10*1+I57</f>
        <v>119.44084201288307</v>
      </c>
      <c r="J58" s="631">
        <v>2.1</v>
      </c>
      <c r="K58" s="662">
        <f t="shared" ref="K58" si="129">(K67-K57)/10*1+K57</f>
        <v>185.22603571026167</v>
      </c>
      <c r="L58" s="634">
        <v>2.1</v>
      </c>
      <c r="M58" s="661">
        <f t="shared" ref="M58" si="130">(M67-M57)/10*1+M57</f>
        <v>163.07730937435164</v>
      </c>
      <c r="N58" s="631">
        <v>2.1</v>
      </c>
      <c r="O58" s="662">
        <f t="shared" ref="O58" si="131">(O67-O57)/10*1+O57</f>
        <v>224.78879881173742</v>
      </c>
      <c r="P58" s="634">
        <v>2.1</v>
      </c>
      <c r="Q58" s="661">
        <f>(Q67-Q57)/10*1+Q57</f>
        <v>311.50892205361674</v>
      </c>
      <c r="R58" s="631">
        <v>2.1</v>
      </c>
      <c r="S58" s="662">
        <f>(S67-S57)/10*1+S57</f>
        <v>398.09931319723097</v>
      </c>
      <c r="T58" s="634">
        <v>2.1</v>
      </c>
      <c r="U58" s="661">
        <f>(U67-U57)/10*1+U57</f>
        <v>418.46508828657625</v>
      </c>
      <c r="V58" s="631">
        <v>2.1</v>
      </c>
      <c r="W58" s="662">
        <f>(W67-W57)/10*1+W57</f>
        <v>587.15202644775286</v>
      </c>
      <c r="X58" s="634">
        <v>2.1</v>
      </c>
    </row>
    <row r="59" spans="1:24" hidden="1" x14ac:dyDescent="0.2">
      <c r="A59" s="661">
        <v>26.769707756742005</v>
      </c>
      <c r="B59" s="631">
        <v>2.2000000000000002</v>
      </c>
      <c r="C59" s="662">
        <f t="shared" ref="C59" si="132">(C67-C57)/10*2+C57</f>
        <v>33.572570205731928</v>
      </c>
      <c r="D59" s="634">
        <v>2.2000000000000002</v>
      </c>
      <c r="E59" s="661">
        <f t="shared" ref="E59" si="133">(E67-E57)/10*2+E57</f>
        <v>47.022110362677509</v>
      </c>
      <c r="F59" s="631">
        <v>2.2000000000000002</v>
      </c>
      <c r="G59" s="662">
        <f t="shared" ref="G59" si="134">(G67-G57)/10*2+G57</f>
        <v>72.834390337284816</v>
      </c>
      <c r="H59" s="634">
        <v>2.2000000000000002</v>
      </c>
      <c r="I59" s="661">
        <f t="shared" ref="I59" si="135">(I67-I57)/10*2+I57</f>
        <v>122.53665756491817</v>
      </c>
      <c r="J59" s="631">
        <v>2.2000000000000002</v>
      </c>
      <c r="K59" s="662">
        <f t="shared" ref="K59" si="136">(K67-K57)/10*2+K57</f>
        <v>189.00944043628311</v>
      </c>
      <c r="L59" s="634">
        <v>2.2000000000000002</v>
      </c>
      <c r="M59" s="661">
        <f t="shared" ref="M59" si="137">(M67-M57)/10*2+M57</f>
        <v>170.77845191843923</v>
      </c>
      <c r="N59" s="631">
        <v>2.2000000000000002</v>
      </c>
      <c r="O59" s="662">
        <f t="shared" ref="O59" si="138">(O67-O57)/10*2+O57</f>
        <v>232.652693301851</v>
      </c>
      <c r="P59" s="634">
        <v>2.2000000000000002</v>
      </c>
      <c r="Q59" s="661">
        <f>(Q67-Q57)/10*2+Q57</f>
        <v>324.9848210370476</v>
      </c>
      <c r="R59" s="631">
        <v>2.2000000000000002</v>
      </c>
      <c r="S59" s="662">
        <f>(S67-S57)/10*2+S57</f>
        <v>412.44743917941702</v>
      </c>
      <c r="T59" s="634">
        <v>2.2000000000000002</v>
      </c>
      <c r="U59" s="661">
        <f>(U67-U57)/10*2+U57</f>
        <v>434.76734696444259</v>
      </c>
      <c r="V59" s="631">
        <v>2.2000000000000002</v>
      </c>
      <c r="W59" s="662">
        <f>(W67-W57)/10*2+W57</f>
        <v>609.00764921472182</v>
      </c>
      <c r="X59" s="634">
        <v>2.2000000000000002</v>
      </c>
    </row>
    <row r="60" spans="1:24" hidden="1" x14ac:dyDescent="0.2">
      <c r="A60" s="661">
        <v>27.559172782077368</v>
      </c>
      <c r="B60" s="631">
        <v>2.2999999999999998</v>
      </c>
      <c r="C60" s="662">
        <f t="shared" ref="C60" si="139">(C67-C57)/10*3+C57</f>
        <v>34.44803770488538</v>
      </c>
      <c r="D60" s="634">
        <v>2.2999999999999998</v>
      </c>
      <c r="E60" s="661">
        <f t="shared" ref="E60" si="140">(E67-E57)/10*3+E57</f>
        <v>48.584439611102454</v>
      </c>
      <c r="F60" s="631">
        <v>2.2999999999999998</v>
      </c>
      <c r="G60" s="662">
        <f t="shared" ref="G60" si="141">(G67-G57)/10*3+G57</f>
        <v>75.385392422825149</v>
      </c>
      <c r="H60" s="634">
        <v>2.2999999999999998</v>
      </c>
      <c r="I60" s="661">
        <f t="shared" ref="I60" si="142">(I67-I57)/10*3+I57</f>
        <v>125.63247311695326</v>
      </c>
      <c r="J60" s="631">
        <v>2.2999999999999998</v>
      </c>
      <c r="K60" s="662">
        <f t="shared" ref="K60" si="143">(K67-K57)/10*3+K57</f>
        <v>192.79284516230459</v>
      </c>
      <c r="L60" s="634">
        <v>2.2999999999999998</v>
      </c>
      <c r="M60" s="661">
        <f t="shared" ref="M60" si="144">(M67-M57)/10*3+M57</f>
        <v>178.47959446252685</v>
      </c>
      <c r="N60" s="631">
        <v>2.2999999999999998</v>
      </c>
      <c r="O60" s="662">
        <f t="shared" ref="O60" si="145">(O67-O57)/10*3+O57</f>
        <v>240.51658779196458</v>
      </c>
      <c r="P60" s="634">
        <v>2.2999999999999998</v>
      </c>
      <c r="Q60" s="661">
        <f>(Q67-Q57)/10*3+Q57</f>
        <v>338.46072002047845</v>
      </c>
      <c r="R60" s="631">
        <v>2.2999999999999998</v>
      </c>
      <c r="S60" s="662">
        <f>(S67-S57)/10*3+S57</f>
        <v>426.79556516160307</v>
      </c>
      <c r="T60" s="634">
        <v>2.2999999999999998</v>
      </c>
      <c r="U60" s="661">
        <f>(U67-U57)/10*3+U57</f>
        <v>451.06960564230894</v>
      </c>
      <c r="V60" s="631">
        <v>2.2999999999999998</v>
      </c>
      <c r="W60" s="662">
        <f>(W67-W57)/10*3+W57</f>
        <v>630.86327198169079</v>
      </c>
      <c r="X60" s="634">
        <v>2.2999999999999998</v>
      </c>
    </row>
    <row r="61" spans="1:24" hidden="1" x14ac:dyDescent="0.2">
      <c r="A61" s="661">
        <v>28.348637807412736</v>
      </c>
      <c r="B61" s="631">
        <v>2.4</v>
      </c>
      <c r="C61" s="662">
        <f t="shared" ref="C61" si="146">(C67-C57)/10*4+C57</f>
        <v>35.323505204038824</v>
      </c>
      <c r="D61" s="634">
        <v>2.4</v>
      </c>
      <c r="E61" s="661">
        <f t="shared" ref="E61" si="147">(E67-E57)/10*4+E57</f>
        <v>50.146768859527398</v>
      </c>
      <c r="F61" s="631">
        <v>2.4</v>
      </c>
      <c r="G61" s="662">
        <f t="shared" ref="G61" si="148">(G67-G57)/10*4+G57</f>
        <v>77.936394508365467</v>
      </c>
      <c r="H61" s="634">
        <v>2.4</v>
      </c>
      <c r="I61" s="661">
        <f t="shared" ref="I61" si="149">(I67-I57)/10*4+I57</f>
        <v>128.72828866898837</v>
      </c>
      <c r="J61" s="631">
        <v>2.4</v>
      </c>
      <c r="K61" s="662">
        <f t="shared" ref="K61" si="150">(K67-K57)/10*4+K57</f>
        <v>196.57624988832603</v>
      </c>
      <c r="L61" s="634">
        <v>2.4</v>
      </c>
      <c r="M61" s="661">
        <f t="shared" ref="M61" si="151">(M67-M57)/10*4+M57</f>
        <v>186.18073700661444</v>
      </c>
      <c r="N61" s="631">
        <v>2.4</v>
      </c>
      <c r="O61" s="662">
        <f t="shared" ref="O61" si="152">(O67-O57)/10*4+O57</f>
        <v>248.38048228207819</v>
      </c>
      <c r="P61" s="634">
        <v>2.4</v>
      </c>
      <c r="Q61" s="661">
        <f>(Q67-Q57)/10*4+Q57</f>
        <v>351.93661900390924</v>
      </c>
      <c r="R61" s="631">
        <v>2.4</v>
      </c>
      <c r="S61" s="662">
        <f>(S67-S57)/10*4+S57</f>
        <v>441.14369114378911</v>
      </c>
      <c r="T61" s="634">
        <v>2.4</v>
      </c>
      <c r="U61" s="661">
        <f>(U67-U57)/10*4+U57</f>
        <v>467.37186432017529</v>
      </c>
      <c r="V61" s="631">
        <v>2.4</v>
      </c>
      <c r="W61" s="662">
        <f>(W67-W57)/10*4+W57</f>
        <v>652.71889474865964</v>
      </c>
      <c r="X61" s="634">
        <v>2.4</v>
      </c>
    </row>
    <row r="62" spans="1:24" hidden="1" x14ac:dyDescent="0.2">
      <c r="A62" s="661">
        <v>29.1381028327481</v>
      </c>
      <c r="B62" s="631">
        <v>2.5</v>
      </c>
      <c r="C62" s="662">
        <f t="shared" ref="C62" si="153">(C67-C57)/10*5+C57</f>
        <v>36.198972703192275</v>
      </c>
      <c r="D62" s="634">
        <v>2.5</v>
      </c>
      <c r="E62" s="661">
        <f t="shared" ref="E62" si="154">(E67-E57)/10*5+E57</f>
        <v>51.709098107952343</v>
      </c>
      <c r="F62" s="631">
        <v>2.5</v>
      </c>
      <c r="G62" s="662">
        <f t="shared" ref="G62" si="155">(G67-G57)/10*5+G57</f>
        <v>80.487396593905785</v>
      </c>
      <c r="H62" s="634">
        <v>2.5</v>
      </c>
      <c r="I62" s="661">
        <f t="shared" ref="I62" si="156">(I67-I57)/10*5+I57</f>
        <v>131.82410422102345</v>
      </c>
      <c r="J62" s="631">
        <v>2.5</v>
      </c>
      <c r="K62" s="662">
        <f t="shared" ref="K62" si="157">(K67-K57)/10*5+K57</f>
        <v>200.35965461434748</v>
      </c>
      <c r="L62" s="634">
        <v>2.5</v>
      </c>
      <c r="M62" s="661">
        <f t="shared" ref="M62" si="158">(M67-M57)/10*5+M57</f>
        <v>193.88187955070205</v>
      </c>
      <c r="N62" s="631">
        <v>2.5</v>
      </c>
      <c r="O62" s="662">
        <f t="shared" ref="O62" si="159">(O67-O57)/10*5+O57</f>
        <v>256.2443767721918</v>
      </c>
      <c r="P62" s="634">
        <v>2.5</v>
      </c>
      <c r="Q62" s="661">
        <f>(Q67-Q57)/10*5+Q57</f>
        <v>365.41251798734004</v>
      </c>
      <c r="R62" s="631">
        <v>2.5</v>
      </c>
      <c r="S62" s="662">
        <f>(S67-S57)/10*5+S57</f>
        <v>455.4918171259751</v>
      </c>
      <c r="T62" s="634">
        <v>2.5</v>
      </c>
      <c r="U62" s="661">
        <f>(U67-U57)/10*5+U57</f>
        <v>483.67412299804164</v>
      </c>
      <c r="V62" s="631">
        <v>2.5</v>
      </c>
      <c r="W62" s="662">
        <f>(W67-W57)/10*5+W57</f>
        <v>674.57451751562849</v>
      </c>
      <c r="X62" s="634">
        <v>2.5</v>
      </c>
    </row>
    <row r="63" spans="1:24" hidden="1" x14ac:dyDescent="0.2">
      <c r="A63" s="661">
        <v>29.927567858083464</v>
      </c>
      <c r="B63" s="631">
        <v>2.6</v>
      </c>
      <c r="C63" s="662">
        <f t="shared" ref="C63" si="160">(C67-C57)/10*6+C57</f>
        <v>37.074440202345727</v>
      </c>
      <c r="D63" s="634">
        <v>2.6</v>
      </c>
      <c r="E63" s="661">
        <f t="shared" ref="E63" si="161">(E67-E57)/10*6+E57</f>
        <v>53.271427356377281</v>
      </c>
      <c r="F63" s="631">
        <v>2.6</v>
      </c>
      <c r="G63" s="662">
        <f t="shared" ref="G63" si="162">(G67-G57)/10*6+G57</f>
        <v>83.038398679446104</v>
      </c>
      <c r="H63" s="634">
        <v>2.6</v>
      </c>
      <c r="I63" s="661">
        <f t="shared" ref="I63" si="163">(I67-I57)/10*6+I57</f>
        <v>134.91991977305855</v>
      </c>
      <c r="J63" s="631">
        <v>2.6</v>
      </c>
      <c r="K63" s="662">
        <f t="shared" ref="K63" si="164">(K67-K57)/10*6+K57</f>
        <v>204.14305934036892</v>
      </c>
      <c r="L63" s="634">
        <v>2.6</v>
      </c>
      <c r="M63" s="661">
        <f t="shared" ref="M63" si="165">(M67-M57)/10*6+M57</f>
        <v>201.58302209478967</v>
      </c>
      <c r="N63" s="631">
        <v>2.6</v>
      </c>
      <c r="O63" s="662">
        <f t="shared" ref="O63" si="166">(O67-O57)/10*6+O57</f>
        <v>264.10827126230538</v>
      </c>
      <c r="P63" s="634">
        <v>2.6</v>
      </c>
      <c r="Q63" s="661">
        <f>(Q67-Q57)/10*6+Q57</f>
        <v>378.88841697077089</v>
      </c>
      <c r="R63" s="631">
        <v>2.6</v>
      </c>
      <c r="S63" s="662">
        <f>(S67-S57)/10*6+S57</f>
        <v>469.83994310816115</v>
      </c>
      <c r="T63" s="634">
        <v>2.6</v>
      </c>
      <c r="U63" s="661">
        <f>(U67-U57)/10*6+U57</f>
        <v>499.97638167590799</v>
      </c>
      <c r="V63" s="631">
        <v>2.6</v>
      </c>
      <c r="W63" s="662">
        <f>(W67-W57)/10*6+W57</f>
        <v>696.43014028259745</v>
      </c>
      <c r="X63" s="634">
        <v>2.6</v>
      </c>
    </row>
    <row r="64" spans="1:24" hidden="1" x14ac:dyDescent="0.2">
      <c r="A64" s="661">
        <v>30.717032883418831</v>
      </c>
      <c r="B64" s="631">
        <v>2.7</v>
      </c>
      <c r="C64" s="662">
        <f t="shared" ref="C64" si="167">(C67-C57)/10*7+C57</f>
        <v>37.949907701499171</v>
      </c>
      <c r="D64" s="634">
        <v>2.7</v>
      </c>
      <c r="E64" s="661">
        <f t="shared" ref="E64" si="168">(E67-E57)/10*7+E57</f>
        <v>54.833756604802225</v>
      </c>
      <c r="F64" s="631">
        <v>2.7</v>
      </c>
      <c r="G64" s="662">
        <f t="shared" ref="G64" si="169">(G67-G57)/10*7+G57</f>
        <v>85.589400764986422</v>
      </c>
      <c r="H64" s="634">
        <v>2.7</v>
      </c>
      <c r="I64" s="661">
        <f t="shared" ref="I64" si="170">(I67-I57)/10*7+I57</f>
        <v>138.01573532509366</v>
      </c>
      <c r="J64" s="631">
        <v>2.7</v>
      </c>
      <c r="K64" s="662">
        <f t="shared" ref="K64" si="171">(K67-K57)/10*7+K57</f>
        <v>207.92646406639037</v>
      </c>
      <c r="L64" s="634">
        <v>2.7</v>
      </c>
      <c r="M64" s="661">
        <f t="shared" ref="M64" si="172">(M67-M57)/10*7+M57</f>
        <v>209.28416463887726</v>
      </c>
      <c r="N64" s="631">
        <v>2.7</v>
      </c>
      <c r="O64" s="662">
        <f t="shared" ref="O64" si="173">(O67-O57)/10*7+O57</f>
        <v>271.97216575241896</v>
      </c>
      <c r="P64" s="634">
        <v>2.7</v>
      </c>
      <c r="Q64" s="661">
        <f>(Q67-Q57)/10*7+Q57</f>
        <v>392.36431595420174</v>
      </c>
      <c r="R64" s="631">
        <v>2.7</v>
      </c>
      <c r="S64" s="662">
        <f>(S67-S57)/10*7+S57</f>
        <v>484.1880690903472</v>
      </c>
      <c r="T64" s="634">
        <v>2.7</v>
      </c>
      <c r="U64" s="661">
        <f>(U67-U57)/10*7+U57</f>
        <v>516.27864035377434</v>
      </c>
      <c r="V64" s="631">
        <v>2.7</v>
      </c>
      <c r="W64" s="662">
        <f>(W67-W57)/10*7+W57</f>
        <v>718.28576304956641</v>
      </c>
      <c r="X64" s="634">
        <v>2.7</v>
      </c>
    </row>
    <row r="65" spans="1:24" hidden="1" x14ac:dyDescent="0.2">
      <c r="A65" s="661">
        <v>31.506497908754195</v>
      </c>
      <c r="B65" s="631">
        <v>2.8</v>
      </c>
      <c r="C65" s="662">
        <f t="shared" ref="C65" si="174">(C67-C57)/10*8+C57</f>
        <v>38.825375200652623</v>
      </c>
      <c r="D65" s="634">
        <v>2.8</v>
      </c>
      <c r="E65" s="661">
        <f t="shared" ref="E65" si="175">(E67-E57)/10*8+E57</f>
        <v>56.396085853227163</v>
      </c>
      <c r="F65" s="631">
        <v>2.8</v>
      </c>
      <c r="G65" s="662">
        <f t="shared" ref="G65" si="176">(G67-G57)/10*8+G57</f>
        <v>88.140402850526755</v>
      </c>
      <c r="H65" s="634">
        <v>2.8</v>
      </c>
      <c r="I65" s="661">
        <f t="shared" ref="I65" si="177">(I67-I57)/10*8+I57</f>
        <v>141.11155087712876</v>
      </c>
      <c r="J65" s="631">
        <v>2.8</v>
      </c>
      <c r="K65" s="662">
        <f t="shared" ref="K65" si="178">(K67-K57)/10*8+K57</f>
        <v>211.70986879241184</v>
      </c>
      <c r="L65" s="634">
        <v>2.8</v>
      </c>
      <c r="M65" s="661">
        <f t="shared" ref="M65" si="179">(M67-M57)/10*8+M57</f>
        <v>216.98530718296487</v>
      </c>
      <c r="N65" s="631">
        <v>2.8</v>
      </c>
      <c r="O65" s="662">
        <f t="shared" ref="O65" si="180">(O67-O57)/10*8+O57</f>
        <v>279.83606024253254</v>
      </c>
      <c r="P65" s="634">
        <v>2.8</v>
      </c>
      <c r="Q65" s="661">
        <f>(Q67-Q57)/10*8+Q57</f>
        <v>405.84021493763254</v>
      </c>
      <c r="R65" s="631">
        <v>2.8</v>
      </c>
      <c r="S65" s="662">
        <f>(S67-S57)/10*8+S57</f>
        <v>498.53619507253325</v>
      </c>
      <c r="T65" s="634">
        <v>2.8</v>
      </c>
      <c r="U65" s="661">
        <f>(U67-U57)/10*8+U57</f>
        <v>532.58089903164068</v>
      </c>
      <c r="V65" s="631">
        <v>2.8</v>
      </c>
      <c r="W65" s="662">
        <f>(W67-W57)/10*8+W57</f>
        <v>740.14138581653526</v>
      </c>
      <c r="X65" s="634">
        <v>2.8</v>
      </c>
    </row>
    <row r="66" spans="1:24" hidden="1" x14ac:dyDescent="0.2">
      <c r="A66" s="661">
        <v>32.295962934089559</v>
      </c>
      <c r="B66" s="631">
        <v>2.9</v>
      </c>
      <c r="C66" s="662">
        <f t="shared" ref="C66" si="181">(C67-C57)/10*9+C57</f>
        <v>39.700842699806067</v>
      </c>
      <c r="D66" s="634">
        <v>2.9</v>
      </c>
      <c r="E66" s="661">
        <f t="shared" ref="E66" si="182">(E67-E57)/10*9+E57</f>
        <v>57.958415101652108</v>
      </c>
      <c r="F66" s="631">
        <v>2.9</v>
      </c>
      <c r="G66" s="662">
        <f t="shared" ref="G66" si="183">(G67-G57)/10*9+G57</f>
        <v>90.691404936067073</v>
      </c>
      <c r="H66" s="634">
        <v>2.9</v>
      </c>
      <c r="I66" s="661">
        <f t="shared" ref="I66" si="184">(I67-I57)/10*9+I57</f>
        <v>144.20736642916384</v>
      </c>
      <c r="J66" s="631">
        <v>2.9</v>
      </c>
      <c r="K66" s="662">
        <f t="shared" ref="K66" si="185">(K67-K57)/10*9+K57</f>
        <v>215.49327351843328</v>
      </c>
      <c r="L66" s="634">
        <v>2.9</v>
      </c>
      <c r="M66" s="661">
        <f t="shared" ref="M66" si="186">(M67-M57)/10*9+M57</f>
        <v>224.68644972705249</v>
      </c>
      <c r="N66" s="631">
        <v>2.9</v>
      </c>
      <c r="O66" s="662">
        <f t="shared" ref="O66" si="187">(O67-O57)/10*9+O57</f>
        <v>287.69995473264612</v>
      </c>
      <c r="P66" s="634">
        <v>2.9</v>
      </c>
      <c r="Q66" s="661">
        <f>(Q67-Q57)/10*9+Q57</f>
        <v>419.31611392106333</v>
      </c>
      <c r="R66" s="631">
        <v>2.9</v>
      </c>
      <c r="S66" s="662">
        <f>(S67-S57)/10*9+S57</f>
        <v>512.88432105471929</v>
      </c>
      <c r="T66" s="634">
        <v>2.9</v>
      </c>
      <c r="U66" s="661">
        <f>(U67-U57)/10*9+U57</f>
        <v>548.88315770950703</v>
      </c>
      <c r="V66" s="631">
        <v>2.9</v>
      </c>
      <c r="W66" s="662">
        <f>(W67-W57)/10*9+W57</f>
        <v>761.99700858350411</v>
      </c>
      <c r="X66" s="634">
        <v>2.9</v>
      </c>
    </row>
    <row r="67" spans="1:24" hidden="1" x14ac:dyDescent="0.2">
      <c r="A67" s="661">
        <v>33.085427959424926</v>
      </c>
      <c r="B67" s="631">
        <v>3</v>
      </c>
      <c r="C67" s="662">
        <v>40.576310198959519</v>
      </c>
      <c r="D67" s="634">
        <v>3</v>
      </c>
      <c r="E67" s="661">
        <v>59.520744350077052</v>
      </c>
      <c r="F67" s="631">
        <v>3</v>
      </c>
      <c r="G67" s="662">
        <v>93.242407021607391</v>
      </c>
      <c r="H67" s="634">
        <v>3</v>
      </c>
      <c r="I67" s="661">
        <v>147.30318198119895</v>
      </c>
      <c r="J67" s="631">
        <v>3</v>
      </c>
      <c r="K67" s="662">
        <v>219.27667824445473</v>
      </c>
      <c r="L67" s="634">
        <v>3</v>
      </c>
      <c r="M67" s="661">
        <v>232.38759227114008</v>
      </c>
      <c r="N67" s="631">
        <v>3</v>
      </c>
      <c r="O67" s="662">
        <v>295.5638492227597</v>
      </c>
      <c r="P67" s="634">
        <v>3</v>
      </c>
      <c r="Q67" s="661">
        <v>432.79201290449419</v>
      </c>
      <c r="R67" s="631">
        <v>3</v>
      </c>
      <c r="S67" s="662">
        <v>527.23244703690534</v>
      </c>
      <c r="T67" s="634">
        <v>3</v>
      </c>
      <c r="U67" s="661">
        <v>565.18541638737338</v>
      </c>
      <c r="V67" s="631">
        <v>3</v>
      </c>
      <c r="W67" s="662">
        <v>783.85263135047308</v>
      </c>
      <c r="X67" s="634">
        <v>3</v>
      </c>
    </row>
    <row r="68" spans="1:24" hidden="1" x14ac:dyDescent="0.2">
      <c r="A68" s="661">
        <v>33.519136549269348</v>
      </c>
      <c r="B68" s="631">
        <v>3.1</v>
      </c>
      <c r="C68" s="662">
        <f t="shared" ref="C68" si="188">(C77-C67)/10*1+C67</f>
        <v>41.306755350114642</v>
      </c>
      <c r="D68" s="634">
        <v>3.1</v>
      </c>
      <c r="E68" s="661">
        <f t="shared" ref="E68" si="189">(E77-E67)/10*1+E67</f>
        <v>60.971026026143463</v>
      </c>
      <c r="F68" s="631">
        <v>3.1</v>
      </c>
      <c r="G68" s="662">
        <f t="shared" ref="G68" si="190">(G77-G67)/10*1+G67</f>
        <v>95.336917388554269</v>
      </c>
      <c r="H68" s="634">
        <v>3.1</v>
      </c>
      <c r="I68" s="661">
        <f t="shared" ref="I68" si="191">(I77-I67)/10*1+I67</f>
        <v>150.35887015736864</v>
      </c>
      <c r="J68" s="631">
        <v>3.1</v>
      </c>
      <c r="K68" s="662">
        <f t="shared" ref="K68" si="192">(K77-K67)/10*1+K67</f>
        <v>221.42265909976581</v>
      </c>
      <c r="L68" s="634">
        <v>3.1</v>
      </c>
      <c r="M68" s="661">
        <f t="shared" ref="M68" si="193">(M77-M67)/10*1+M67</f>
        <v>238.28361059379029</v>
      </c>
      <c r="N68" s="631">
        <v>3.1</v>
      </c>
      <c r="O68" s="662">
        <f t="shared" ref="O68" si="194">(O77-O67)/10*1+O67</f>
        <v>302.92984730480509</v>
      </c>
      <c r="P68" s="634">
        <v>3.1</v>
      </c>
      <c r="Q68" s="661">
        <f>(Q77-Q67)/10*1+Q67</f>
        <v>444.76228264337226</v>
      </c>
      <c r="R68" s="631">
        <v>3.1</v>
      </c>
      <c r="S68" s="662">
        <f>(S77-S67)/10*1+S67</f>
        <v>541.21759100472832</v>
      </c>
      <c r="T68" s="634">
        <v>3.1</v>
      </c>
      <c r="U68" s="661">
        <f>(U77-U67)/10*1+U67</f>
        <v>581.86698587509716</v>
      </c>
      <c r="V68" s="631">
        <v>3.1</v>
      </c>
      <c r="W68" s="662">
        <f>(W77-W67)/10*1+W67</f>
        <v>804.57869837859187</v>
      </c>
      <c r="X68" s="634">
        <v>3.1</v>
      </c>
    </row>
    <row r="69" spans="1:24" hidden="1" x14ac:dyDescent="0.2">
      <c r="A69" s="661">
        <v>33.952845139113776</v>
      </c>
      <c r="B69" s="631">
        <v>3.2</v>
      </c>
      <c r="C69" s="662">
        <f t="shared" ref="C69" si="195">(C77-C67)/10*2+C67</f>
        <v>42.037200501269766</v>
      </c>
      <c r="D69" s="634">
        <v>3.2</v>
      </c>
      <c r="E69" s="661">
        <f t="shared" ref="E69" si="196">(E77-E67)/10*2+E67</f>
        <v>62.421307702209873</v>
      </c>
      <c r="F69" s="631">
        <v>3.2</v>
      </c>
      <c r="G69" s="662">
        <f t="shared" ref="G69" si="197">(G77-G67)/10*2+G67</f>
        <v>97.431427755501133</v>
      </c>
      <c r="H69" s="634">
        <v>3.2</v>
      </c>
      <c r="I69" s="661">
        <f t="shared" ref="I69" si="198">(I77-I67)/10*2+I67</f>
        <v>153.41455833353834</v>
      </c>
      <c r="J69" s="631">
        <v>3.2</v>
      </c>
      <c r="K69" s="662">
        <f t="shared" ref="K69" si="199">(K77-K67)/10*2+K67</f>
        <v>223.56863995507692</v>
      </c>
      <c r="L69" s="634">
        <v>3.2</v>
      </c>
      <c r="M69" s="661">
        <f t="shared" ref="M69" si="200">(M77-M67)/10*2+M67</f>
        <v>244.17962891644049</v>
      </c>
      <c r="N69" s="631">
        <v>3.2</v>
      </c>
      <c r="O69" s="662">
        <f t="shared" ref="O69" si="201">(O77-O67)/10*2+O67</f>
        <v>310.29584538685043</v>
      </c>
      <c r="P69" s="634">
        <v>3.2</v>
      </c>
      <c r="Q69" s="661">
        <f>(Q77-Q67)/10*2+Q67</f>
        <v>456.73255238225033</v>
      </c>
      <c r="R69" s="631">
        <v>3.2</v>
      </c>
      <c r="S69" s="662">
        <f>(S77-S67)/10*2+S67</f>
        <v>555.2027349725513</v>
      </c>
      <c r="T69" s="634">
        <v>3.2</v>
      </c>
      <c r="U69" s="661">
        <f>(U77-U67)/10*2+U67</f>
        <v>598.54855536282082</v>
      </c>
      <c r="V69" s="631">
        <v>3.2</v>
      </c>
      <c r="W69" s="662">
        <f>(W77-W67)/10*2+W67</f>
        <v>825.30476540671054</v>
      </c>
      <c r="X69" s="634">
        <v>3.2</v>
      </c>
    </row>
    <row r="70" spans="1:24" hidden="1" x14ac:dyDescent="0.2">
      <c r="A70" s="661">
        <v>34.386553728958205</v>
      </c>
      <c r="B70" s="631">
        <v>3.3</v>
      </c>
      <c r="C70" s="662">
        <f t="shared" ref="C70" si="202">(C77-C67)/10*3+C67</f>
        <v>42.767645652424889</v>
      </c>
      <c r="D70" s="634">
        <v>3.3</v>
      </c>
      <c r="E70" s="661">
        <f t="shared" ref="E70" si="203">(E77-E67)/10*3+E67</f>
        <v>63.871589378276283</v>
      </c>
      <c r="F70" s="631">
        <v>3.3</v>
      </c>
      <c r="G70" s="662">
        <f t="shared" ref="G70" si="204">(G77-G67)/10*3+G67</f>
        <v>99.525938122447997</v>
      </c>
      <c r="H70" s="634">
        <v>3.3</v>
      </c>
      <c r="I70" s="661">
        <f t="shared" ref="I70" si="205">(I77-I67)/10*3+I67</f>
        <v>156.47024650970803</v>
      </c>
      <c r="J70" s="631">
        <v>3.3</v>
      </c>
      <c r="K70" s="662">
        <f t="shared" ref="K70" si="206">(K77-K67)/10*3+K67</f>
        <v>225.714620810388</v>
      </c>
      <c r="L70" s="634">
        <v>3.3</v>
      </c>
      <c r="M70" s="661">
        <f t="shared" ref="M70" si="207">(M77-M67)/10*3+M67</f>
        <v>250.0756472390907</v>
      </c>
      <c r="N70" s="631">
        <v>3.3</v>
      </c>
      <c r="O70" s="662">
        <f t="shared" ref="O70" si="208">(O77-O67)/10*3+O67</f>
        <v>317.66184346889582</v>
      </c>
      <c r="P70" s="634">
        <v>3.3</v>
      </c>
      <c r="Q70" s="661">
        <f>(Q77-Q67)/10*3+Q67</f>
        <v>468.70282212112841</v>
      </c>
      <c r="R70" s="631">
        <v>3.3</v>
      </c>
      <c r="S70" s="662">
        <f>(S77-S67)/10*3+S67</f>
        <v>569.18787894037428</v>
      </c>
      <c r="T70" s="634">
        <v>3.3</v>
      </c>
      <c r="U70" s="661">
        <f>(U77-U67)/10*3+U67</f>
        <v>615.2301248505446</v>
      </c>
      <c r="V70" s="631">
        <v>3.3</v>
      </c>
      <c r="W70" s="662">
        <f>(W77-W67)/10*3+W67</f>
        <v>846.03083243482934</v>
      </c>
      <c r="X70" s="634">
        <v>3.3</v>
      </c>
    </row>
    <row r="71" spans="1:24" hidden="1" x14ac:dyDescent="0.2">
      <c r="A71" s="661">
        <v>34.820262318802627</v>
      </c>
      <c r="B71" s="631">
        <v>3.4</v>
      </c>
      <c r="C71" s="662">
        <f t="shared" ref="C71" si="209">(C77-C67)/10*4+C67</f>
        <v>43.498090803580013</v>
      </c>
      <c r="D71" s="634">
        <v>3.4</v>
      </c>
      <c r="E71" s="661">
        <f t="shared" ref="E71" si="210">(E77-E67)/10*4+E67</f>
        <v>65.321871054342694</v>
      </c>
      <c r="F71" s="631">
        <v>3.4</v>
      </c>
      <c r="G71" s="662">
        <f t="shared" ref="G71" si="211">(G77-G67)/10*4+G67</f>
        <v>101.62044848939487</v>
      </c>
      <c r="H71" s="634">
        <v>3.4</v>
      </c>
      <c r="I71" s="661">
        <f t="shared" ref="I71" si="212">(I77-I67)/10*4+I67</f>
        <v>159.52593468587773</v>
      </c>
      <c r="J71" s="631">
        <v>3.4</v>
      </c>
      <c r="K71" s="662">
        <f t="shared" ref="K71" si="213">(K77-K67)/10*4+K67</f>
        <v>227.86060166569911</v>
      </c>
      <c r="L71" s="634">
        <v>3.4</v>
      </c>
      <c r="M71" s="661">
        <f t="shared" ref="M71" si="214">(M77-M67)/10*4+M67</f>
        <v>255.97166556174091</v>
      </c>
      <c r="N71" s="631">
        <v>3.4</v>
      </c>
      <c r="O71" s="662">
        <f t="shared" ref="O71" si="215">(O77-O67)/10*4+O67</f>
        <v>325.02784155094116</v>
      </c>
      <c r="P71" s="634">
        <v>3.4</v>
      </c>
      <c r="Q71" s="661">
        <f>(Q77-Q67)/10*4+Q67</f>
        <v>480.67309186000654</v>
      </c>
      <c r="R71" s="631">
        <v>3.4</v>
      </c>
      <c r="S71" s="662">
        <f>(S77-S67)/10*4+S67</f>
        <v>583.17302290819725</v>
      </c>
      <c r="T71" s="634">
        <v>3.4</v>
      </c>
      <c r="U71" s="661">
        <f>(U77-U67)/10*4+U67</f>
        <v>631.91169433826826</v>
      </c>
      <c r="V71" s="631">
        <v>3.4</v>
      </c>
      <c r="W71" s="662">
        <f>(W77-W67)/10*4+W67</f>
        <v>866.75689946294813</v>
      </c>
      <c r="X71" s="634">
        <v>3.4</v>
      </c>
    </row>
    <row r="72" spans="1:24" hidden="1" x14ac:dyDescent="0.2">
      <c r="A72" s="661">
        <v>35.253970908647048</v>
      </c>
      <c r="B72" s="631">
        <v>3.5</v>
      </c>
      <c r="C72" s="662">
        <f t="shared" ref="C72" si="216">(C77-C67)/10*5+C67</f>
        <v>44.228535954735136</v>
      </c>
      <c r="D72" s="634">
        <v>3.5</v>
      </c>
      <c r="E72" s="661">
        <f t="shared" ref="E72" si="217">(E77-E67)/10*5+E67</f>
        <v>66.77215273040909</v>
      </c>
      <c r="F72" s="631">
        <v>3.5</v>
      </c>
      <c r="G72" s="662">
        <f t="shared" ref="G72" si="218">(G77-G67)/10*5+G67</f>
        <v>103.71495885634175</v>
      </c>
      <c r="H72" s="634">
        <v>3.5</v>
      </c>
      <c r="I72" s="661">
        <f t="shared" ref="I72" si="219">(I77-I67)/10*5+I67</f>
        <v>162.58162286204742</v>
      </c>
      <c r="J72" s="631">
        <v>3.5</v>
      </c>
      <c r="K72" s="662">
        <f t="shared" ref="K72" si="220">(K77-K67)/10*5+K67</f>
        <v>230.00658252101019</v>
      </c>
      <c r="L72" s="634">
        <v>3.5</v>
      </c>
      <c r="M72" s="661">
        <f t="shared" ref="M72" si="221">(M77-M67)/10*5+M67</f>
        <v>261.86768388439111</v>
      </c>
      <c r="N72" s="631">
        <v>3.5</v>
      </c>
      <c r="O72" s="662">
        <f t="shared" ref="O72" si="222">(O77-O67)/10*5+O67</f>
        <v>332.39383963298656</v>
      </c>
      <c r="P72" s="634">
        <v>3.5</v>
      </c>
      <c r="Q72" s="661">
        <f>(Q77-Q67)/10*5+Q67</f>
        <v>492.64336159888461</v>
      </c>
      <c r="R72" s="631">
        <v>3.5</v>
      </c>
      <c r="S72" s="662">
        <f>(S77-S67)/10*5+S67</f>
        <v>597.15816687602023</v>
      </c>
      <c r="T72" s="634">
        <v>3.5</v>
      </c>
      <c r="U72" s="661">
        <f>(U77-U67)/10*5+U67</f>
        <v>648.59326382599204</v>
      </c>
      <c r="V72" s="631">
        <v>3.5</v>
      </c>
      <c r="W72" s="662">
        <f>(W77-W67)/10*5+W67</f>
        <v>887.48296649106692</v>
      </c>
      <c r="X72" s="634">
        <v>3.5</v>
      </c>
    </row>
    <row r="73" spans="1:24" hidden="1" x14ac:dyDescent="0.2">
      <c r="A73" s="661">
        <v>35.687679498491477</v>
      </c>
      <c r="B73" s="631">
        <v>3.6</v>
      </c>
      <c r="C73" s="662">
        <f t="shared" ref="C73" si="223">(C77-C67)/10*6+C67</f>
        <v>44.95898110589026</v>
      </c>
      <c r="D73" s="634">
        <v>3.6</v>
      </c>
      <c r="E73" s="661">
        <f t="shared" ref="E73" si="224">(E77-E67)/10*6+E67</f>
        <v>68.222434406475514</v>
      </c>
      <c r="F73" s="631">
        <v>3.6</v>
      </c>
      <c r="G73" s="662">
        <f t="shared" ref="G73" si="225">(G77-G67)/10*6+G67</f>
        <v>105.80946922328862</v>
      </c>
      <c r="H73" s="634">
        <v>3.6</v>
      </c>
      <c r="I73" s="661">
        <f t="shared" ref="I73" si="226">(I77-I67)/10*6+I67</f>
        <v>165.63731103821715</v>
      </c>
      <c r="J73" s="631">
        <v>3.6</v>
      </c>
      <c r="K73" s="662">
        <f t="shared" ref="K73" si="227">(K77-K67)/10*6+K67</f>
        <v>232.15256337632127</v>
      </c>
      <c r="L73" s="634">
        <v>3.6</v>
      </c>
      <c r="M73" s="661">
        <f t="shared" ref="M73" si="228">(M77-M67)/10*6+M67</f>
        <v>267.76370220704132</v>
      </c>
      <c r="N73" s="631">
        <v>3.6</v>
      </c>
      <c r="O73" s="662">
        <f t="shared" ref="O73" si="229">(O77-O67)/10*6+O67</f>
        <v>339.75983771503195</v>
      </c>
      <c r="P73" s="634">
        <v>3.6</v>
      </c>
      <c r="Q73" s="661">
        <f>(Q77-Q67)/10*6+Q67</f>
        <v>504.61363133776268</v>
      </c>
      <c r="R73" s="631">
        <v>3.6</v>
      </c>
      <c r="S73" s="662">
        <f>(S77-S67)/10*6+S67</f>
        <v>611.14331084384321</v>
      </c>
      <c r="T73" s="634">
        <v>3.6</v>
      </c>
      <c r="U73" s="661">
        <f>(U77-U67)/10*6+U67</f>
        <v>665.27483331371582</v>
      </c>
      <c r="V73" s="631">
        <v>3.6</v>
      </c>
      <c r="W73" s="662">
        <f>(W77-W67)/10*6+W67</f>
        <v>908.2090335191856</v>
      </c>
      <c r="X73" s="634">
        <v>3.6</v>
      </c>
    </row>
    <row r="74" spans="1:24" hidden="1" x14ac:dyDescent="0.2">
      <c r="A74" s="661">
        <v>36.121388088335905</v>
      </c>
      <c r="B74" s="631">
        <v>3.7</v>
      </c>
      <c r="C74" s="662">
        <f t="shared" ref="C74" si="230">(C77-C67)/10*7+C67</f>
        <v>45.689426257045376</v>
      </c>
      <c r="D74" s="634">
        <v>3.7</v>
      </c>
      <c r="E74" s="661">
        <f t="shared" ref="E74" si="231">(E77-E67)/10*7+E67</f>
        <v>69.672716082541911</v>
      </c>
      <c r="F74" s="631">
        <v>3.7</v>
      </c>
      <c r="G74" s="662">
        <f t="shared" ref="G74" si="232">(G77-G67)/10*7+G67</f>
        <v>107.90397959023548</v>
      </c>
      <c r="H74" s="634">
        <v>3.7</v>
      </c>
      <c r="I74" s="661">
        <f t="shared" ref="I74" si="233">(I77-I67)/10*7+I67</f>
        <v>168.69299921438684</v>
      </c>
      <c r="J74" s="631">
        <v>3.7</v>
      </c>
      <c r="K74" s="662">
        <f t="shared" ref="K74" si="234">(K77-K67)/10*7+K67</f>
        <v>234.29854423163238</v>
      </c>
      <c r="L74" s="634">
        <v>3.7</v>
      </c>
      <c r="M74" s="661">
        <f t="shared" ref="M74" si="235">(M77-M67)/10*7+M67</f>
        <v>273.65972052969153</v>
      </c>
      <c r="N74" s="631">
        <v>3.7</v>
      </c>
      <c r="O74" s="662">
        <f t="shared" ref="O74" si="236">(O77-O67)/10*7+O67</f>
        <v>347.12583579707729</v>
      </c>
      <c r="P74" s="634">
        <v>3.7</v>
      </c>
      <c r="Q74" s="661">
        <f>(Q77-Q67)/10*7+Q67</f>
        <v>516.58390107664081</v>
      </c>
      <c r="R74" s="631">
        <v>3.7</v>
      </c>
      <c r="S74" s="662">
        <f>(S77-S67)/10*7+S67</f>
        <v>625.1284548116663</v>
      </c>
      <c r="T74" s="634">
        <v>3.7</v>
      </c>
      <c r="U74" s="661">
        <f>(U77-U67)/10*7+U67</f>
        <v>681.95640280143948</v>
      </c>
      <c r="V74" s="631">
        <v>3.7</v>
      </c>
      <c r="W74" s="662">
        <f>(W77-W67)/10*7+W67</f>
        <v>928.93510054730439</v>
      </c>
      <c r="X74" s="634">
        <v>3.7</v>
      </c>
    </row>
    <row r="75" spans="1:24" hidden="1" x14ac:dyDescent="0.2">
      <c r="A75" s="661">
        <v>36.555096678180327</v>
      </c>
      <c r="B75" s="631">
        <v>3.8</v>
      </c>
      <c r="C75" s="662">
        <f t="shared" ref="C75" si="237">(C77-C67)/10*8+C67</f>
        <v>46.4198714082005</v>
      </c>
      <c r="D75" s="634">
        <v>3.8</v>
      </c>
      <c r="E75" s="661">
        <f t="shared" ref="E75" si="238">(E77-E67)/10*8+E67</f>
        <v>71.122997758608321</v>
      </c>
      <c r="F75" s="631">
        <v>3.8</v>
      </c>
      <c r="G75" s="662">
        <f t="shared" ref="G75" si="239">(G77-G67)/10*8+G67</f>
        <v>109.99848995718236</v>
      </c>
      <c r="H75" s="634">
        <v>3.8</v>
      </c>
      <c r="I75" s="661">
        <f t="shared" ref="I75" si="240">(I77-I67)/10*8+I67</f>
        <v>171.74868739055654</v>
      </c>
      <c r="J75" s="631">
        <v>3.8</v>
      </c>
      <c r="K75" s="662">
        <f t="shared" ref="K75" si="241">(K77-K67)/10*8+K67</f>
        <v>236.44452508694346</v>
      </c>
      <c r="L75" s="634">
        <v>3.8</v>
      </c>
      <c r="M75" s="661">
        <f t="shared" ref="M75" si="242">(M77-M67)/10*8+M67</f>
        <v>279.55573885234173</v>
      </c>
      <c r="N75" s="631">
        <v>3.8</v>
      </c>
      <c r="O75" s="662">
        <f t="shared" ref="O75" si="243">(O77-O67)/10*8+O67</f>
        <v>354.49183387912268</v>
      </c>
      <c r="P75" s="634">
        <v>3.8</v>
      </c>
      <c r="Q75" s="661">
        <f>(Q77-Q67)/10*8+Q67</f>
        <v>528.55417081551889</v>
      </c>
      <c r="R75" s="631">
        <v>3.8</v>
      </c>
      <c r="S75" s="662">
        <f>(S77-S67)/10*8+S67</f>
        <v>639.11359877948928</v>
      </c>
      <c r="T75" s="634">
        <v>3.8</v>
      </c>
      <c r="U75" s="661">
        <f>(U77-U67)/10*8+U67</f>
        <v>698.63797228916326</v>
      </c>
      <c r="V75" s="631">
        <v>3.8</v>
      </c>
      <c r="W75" s="662">
        <f>(W77-W67)/10*8+W67</f>
        <v>949.66116757542318</v>
      </c>
      <c r="X75" s="634">
        <v>3.8</v>
      </c>
    </row>
    <row r="76" spans="1:24" hidden="1" x14ac:dyDescent="0.2">
      <c r="A76" s="661">
        <v>36.988805268024748</v>
      </c>
      <c r="B76" s="631">
        <v>3.9</v>
      </c>
      <c r="C76" s="662">
        <f t="shared" ref="C76" si="244">(C77-C67)/10*9+C67</f>
        <v>47.150316559355623</v>
      </c>
      <c r="D76" s="634">
        <v>3.9</v>
      </c>
      <c r="E76" s="661">
        <f t="shared" ref="E76" si="245">(E77-E67)/10*9+E67</f>
        <v>72.573279434674731</v>
      </c>
      <c r="F76" s="631">
        <v>3.9</v>
      </c>
      <c r="G76" s="662">
        <f t="shared" ref="G76" si="246">(G77-G67)/10*9+G67</f>
        <v>112.09300032412924</v>
      </c>
      <c r="H76" s="634">
        <v>3.9</v>
      </c>
      <c r="I76" s="661">
        <f t="shared" ref="I76" si="247">(I77-I67)/10*9+I67</f>
        <v>174.80437556672624</v>
      </c>
      <c r="J76" s="631">
        <v>3.9</v>
      </c>
      <c r="K76" s="662">
        <f t="shared" ref="K76" si="248">(K77-K67)/10*9+K67</f>
        <v>238.59050594225457</v>
      </c>
      <c r="L76" s="634">
        <v>3.9</v>
      </c>
      <c r="M76" s="661">
        <f t="shared" ref="M76" si="249">(M77-M67)/10*9+M67</f>
        <v>285.45175717499194</v>
      </c>
      <c r="N76" s="631">
        <v>3.9</v>
      </c>
      <c r="O76" s="662">
        <f t="shared" ref="O76" si="250">(O77-O67)/10*9+O67</f>
        <v>361.85783196116802</v>
      </c>
      <c r="P76" s="634">
        <v>3.9</v>
      </c>
      <c r="Q76" s="661">
        <f>(Q77-Q67)/10*9+Q67</f>
        <v>540.52444055439696</v>
      </c>
      <c r="R76" s="631">
        <v>3.9</v>
      </c>
      <c r="S76" s="662">
        <f>(S77-S67)/10*9+S67</f>
        <v>653.09874274731226</v>
      </c>
      <c r="T76" s="634">
        <v>3.9</v>
      </c>
      <c r="U76" s="661">
        <f>(U77-U67)/10*9+U67</f>
        <v>715.31954177688692</v>
      </c>
      <c r="V76" s="631">
        <v>3.9</v>
      </c>
      <c r="W76" s="662">
        <f>(W77-W67)/10*9+W67</f>
        <v>970.38723460354186</v>
      </c>
      <c r="X76" s="634">
        <v>3.9</v>
      </c>
    </row>
    <row r="77" spans="1:24" hidden="1" x14ac:dyDescent="0.2">
      <c r="A77" s="661">
        <v>37.422513857869177</v>
      </c>
      <c r="B77" s="631">
        <v>4</v>
      </c>
      <c r="C77" s="662">
        <v>47.880761710510747</v>
      </c>
      <c r="D77" s="634">
        <v>4</v>
      </c>
      <c r="E77" s="661">
        <v>74.023561110741142</v>
      </c>
      <c r="F77" s="631">
        <v>4</v>
      </c>
      <c r="G77" s="662">
        <v>114.1875106910761</v>
      </c>
      <c r="H77" s="634">
        <v>4</v>
      </c>
      <c r="I77" s="661">
        <v>177.86006374289593</v>
      </c>
      <c r="J77" s="631">
        <v>4</v>
      </c>
      <c r="K77" s="662">
        <v>240.73648679756565</v>
      </c>
      <c r="L77" s="634">
        <v>4</v>
      </c>
      <c r="M77" s="661">
        <v>291.34777549764215</v>
      </c>
      <c r="N77" s="631">
        <v>4</v>
      </c>
      <c r="O77" s="662">
        <v>369.22383004321341</v>
      </c>
      <c r="P77" s="634">
        <v>4</v>
      </c>
      <c r="Q77" s="661">
        <v>552.49471029327503</v>
      </c>
      <c r="R77" s="631">
        <v>4</v>
      </c>
      <c r="S77" s="662">
        <v>667.08388671513524</v>
      </c>
      <c r="T77" s="634">
        <v>4</v>
      </c>
      <c r="U77" s="661">
        <v>732.0011112646107</v>
      </c>
      <c r="V77" s="631">
        <v>4</v>
      </c>
      <c r="W77" s="662">
        <v>991.11330163166065</v>
      </c>
      <c r="X77" s="634">
        <v>4</v>
      </c>
    </row>
    <row r="78" spans="1:24" hidden="1" x14ac:dyDescent="0.2">
      <c r="A78" s="661">
        <v>37.895540617745816</v>
      </c>
      <c r="B78" s="631">
        <v>4.0999999999999996</v>
      </c>
      <c r="C78" s="662">
        <f t="shared" ref="C78" si="251">(C87-C77)/10*1+C77</f>
        <v>48.748748786490474</v>
      </c>
      <c r="D78" s="634">
        <v>4.0999999999999996</v>
      </c>
      <c r="E78" s="661">
        <f t="shared" ref="E78" si="252">(E87-E77)/10*1+E77</f>
        <v>75.030506322309989</v>
      </c>
      <c r="F78" s="631">
        <v>4.0999999999999996</v>
      </c>
      <c r="G78" s="662">
        <f t="shared" ref="G78" si="253">(G87-G77)/10*1+G77</f>
        <v>115.85091916767718</v>
      </c>
      <c r="H78" s="634">
        <v>4.0999999999999996</v>
      </c>
      <c r="I78" s="661">
        <f t="shared" ref="I78" si="254">(I87-I77)/10*1+I77</f>
        <v>180.52898482069213</v>
      </c>
      <c r="J78" s="631">
        <v>4.0999999999999996</v>
      </c>
      <c r="K78" s="662">
        <f t="shared" ref="K78" si="255">(K87-K77)/10*1+K77</f>
        <v>242.70616736304513</v>
      </c>
      <c r="L78" s="634">
        <v>4.0999999999999996</v>
      </c>
      <c r="M78" s="661">
        <f t="shared" ref="M78" si="256">(M87-M77)/10*1+M77</f>
        <v>297.25561957562491</v>
      </c>
      <c r="N78" s="631">
        <v>4.0999999999999996</v>
      </c>
      <c r="O78" s="662">
        <f t="shared" ref="O78" si="257">(O87-O77)/10*1+O77</f>
        <v>375.32985283082451</v>
      </c>
      <c r="P78" s="634">
        <v>4.0999999999999996</v>
      </c>
      <c r="Q78" s="661">
        <f>(Q87-Q77)/10*1+Q77</f>
        <v>565.0748550547321</v>
      </c>
      <c r="R78" s="631">
        <v>4.0999999999999996</v>
      </c>
      <c r="S78" s="662">
        <f>(S87-S77)/10*1+S77</f>
        <v>680.15277698570117</v>
      </c>
      <c r="T78" s="634">
        <v>4.0999999999999996</v>
      </c>
      <c r="U78" s="661">
        <f>(U87-U77)/10*1+U77</f>
        <v>746.04002166652663</v>
      </c>
      <c r="V78" s="631">
        <v>4.0999999999999996</v>
      </c>
      <c r="W78" s="662">
        <f>(W87-W77)/10*1+W77</f>
        <v>1010.8309627848113</v>
      </c>
      <c r="X78" s="634">
        <v>4.0999999999999996</v>
      </c>
    </row>
    <row r="79" spans="1:24" hidden="1" x14ac:dyDescent="0.2">
      <c r="A79" s="661">
        <v>38.368567377622455</v>
      </c>
      <c r="B79" s="631">
        <v>4.2</v>
      </c>
      <c r="C79" s="662">
        <f t="shared" ref="C79" si="258">(C87-C77)/10*2+C77</f>
        <v>49.6167358624702</v>
      </c>
      <c r="D79" s="634">
        <v>4.2</v>
      </c>
      <c r="E79" s="661">
        <f t="shared" ref="E79" si="259">(E87-E77)/10*2+E77</f>
        <v>76.037451533878823</v>
      </c>
      <c r="F79" s="631">
        <v>4.2</v>
      </c>
      <c r="G79" s="662">
        <f t="shared" ref="G79" si="260">(G87-G77)/10*2+G77</f>
        <v>117.51432764427827</v>
      </c>
      <c r="H79" s="634">
        <v>4.2</v>
      </c>
      <c r="I79" s="661">
        <f t="shared" ref="I79" si="261">(I87-I77)/10*2+I77</f>
        <v>183.19790589848833</v>
      </c>
      <c r="J79" s="631">
        <v>4.2</v>
      </c>
      <c r="K79" s="662">
        <f t="shared" ref="K79" si="262">(K87-K77)/10*2+K77</f>
        <v>244.6758479285246</v>
      </c>
      <c r="L79" s="634">
        <v>4.2</v>
      </c>
      <c r="M79" s="661">
        <f t="shared" ref="M79" si="263">(M87-M77)/10*2+M77</f>
        <v>303.16346365360761</v>
      </c>
      <c r="N79" s="631">
        <v>4.2</v>
      </c>
      <c r="O79" s="662">
        <f t="shared" ref="O79" si="264">(O87-O77)/10*2+O77</f>
        <v>381.43587561843555</v>
      </c>
      <c r="P79" s="634">
        <v>4.2</v>
      </c>
      <c r="Q79" s="661">
        <f>(Q87-Q77)/10*2+Q77</f>
        <v>577.65499981618916</v>
      </c>
      <c r="R79" s="631">
        <v>4.2</v>
      </c>
      <c r="S79" s="662">
        <f>(S87-S77)/10*2+S77</f>
        <v>693.2216672562671</v>
      </c>
      <c r="T79" s="634">
        <v>4.2</v>
      </c>
      <c r="U79" s="661">
        <f>(U87-U77)/10*2+U77</f>
        <v>760.07893206844244</v>
      </c>
      <c r="V79" s="631">
        <v>4.2</v>
      </c>
      <c r="W79" s="662">
        <f>(W87-W77)/10*2+W77</f>
        <v>1030.5486239379618</v>
      </c>
      <c r="X79" s="634">
        <v>4.2</v>
      </c>
    </row>
    <row r="80" spans="1:24" hidden="1" x14ac:dyDescent="0.2">
      <c r="A80" s="661">
        <v>38.841594137499094</v>
      </c>
      <c r="B80" s="631">
        <v>4.3</v>
      </c>
      <c r="C80" s="662">
        <f t="shared" ref="C80" si="265">(C87-C77)/10*3+C77</f>
        <v>50.484722938449927</v>
      </c>
      <c r="D80" s="634">
        <v>4.3</v>
      </c>
      <c r="E80" s="661">
        <f t="shared" ref="E80" si="266">(E87-E77)/10*3+E77</f>
        <v>77.044396745447671</v>
      </c>
      <c r="F80" s="631">
        <v>4.3</v>
      </c>
      <c r="G80" s="662">
        <f t="shared" ref="G80" si="267">(G87-G77)/10*3+G77</f>
        <v>119.17773612087936</v>
      </c>
      <c r="H80" s="634">
        <v>4.3</v>
      </c>
      <c r="I80" s="661">
        <f t="shared" ref="I80" si="268">(I87-I77)/10*3+I77</f>
        <v>185.86682697628453</v>
      </c>
      <c r="J80" s="631">
        <v>4.3</v>
      </c>
      <c r="K80" s="662">
        <f t="shared" ref="K80" si="269">(K87-K77)/10*3+K77</f>
        <v>246.64552849400405</v>
      </c>
      <c r="L80" s="634">
        <v>4.3</v>
      </c>
      <c r="M80" s="661">
        <f t="shared" ref="M80" si="270">(M87-M77)/10*3+M77</f>
        <v>309.07130773159031</v>
      </c>
      <c r="N80" s="631">
        <v>4.3</v>
      </c>
      <c r="O80" s="662">
        <f t="shared" ref="O80" si="271">(O87-O77)/10*3+O77</f>
        <v>387.54189840604664</v>
      </c>
      <c r="P80" s="634">
        <v>4.3</v>
      </c>
      <c r="Q80" s="661">
        <f>(Q87-Q77)/10*3+Q77</f>
        <v>590.23514457764611</v>
      </c>
      <c r="R80" s="631">
        <v>4.3</v>
      </c>
      <c r="S80" s="662">
        <f>(S87-S77)/10*3+S77</f>
        <v>706.29055752683291</v>
      </c>
      <c r="T80" s="634">
        <v>4.3</v>
      </c>
      <c r="U80" s="661">
        <f>(U87-U77)/10*3+U77</f>
        <v>774.11784247035837</v>
      </c>
      <c r="V80" s="631">
        <v>4.3</v>
      </c>
      <c r="W80" s="662">
        <f>(W87-W77)/10*3+W77</f>
        <v>1050.2662850911124</v>
      </c>
      <c r="X80" s="634">
        <v>4.3</v>
      </c>
    </row>
    <row r="81" spans="1:24" hidden="1" x14ac:dyDescent="0.2">
      <c r="A81" s="661">
        <v>39.314620897375733</v>
      </c>
      <c r="B81" s="631">
        <v>4.4000000000000004</v>
      </c>
      <c r="C81" s="662">
        <f t="shared" ref="C81" si="272">(C87-C77)/10*4+C77</f>
        <v>51.352710014429654</v>
      </c>
      <c r="D81" s="634">
        <v>4.4000000000000004</v>
      </c>
      <c r="E81" s="661">
        <f t="shared" ref="E81" si="273">(E87-E77)/10*4+E77</f>
        <v>78.051341957016504</v>
      </c>
      <c r="F81" s="631">
        <v>4.4000000000000004</v>
      </c>
      <c r="G81" s="662">
        <f t="shared" ref="G81" si="274">(G87-G77)/10*4+G77</f>
        <v>120.84114459748044</v>
      </c>
      <c r="H81" s="634">
        <v>4.4000000000000004</v>
      </c>
      <c r="I81" s="661">
        <f t="shared" ref="I81" si="275">(I87-I77)/10*4+I77</f>
        <v>188.53574805408073</v>
      </c>
      <c r="J81" s="631">
        <v>4.4000000000000004</v>
      </c>
      <c r="K81" s="662">
        <f t="shared" ref="K81" si="276">(K87-K77)/10*4+K77</f>
        <v>248.61520905948353</v>
      </c>
      <c r="L81" s="634">
        <v>4.4000000000000004</v>
      </c>
      <c r="M81" s="661">
        <f t="shared" ref="M81" si="277">(M87-M77)/10*4+M77</f>
        <v>314.97915180957307</v>
      </c>
      <c r="N81" s="631">
        <v>4.4000000000000004</v>
      </c>
      <c r="O81" s="662">
        <f t="shared" ref="O81" si="278">(O87-O77)/10*4+O77</f>
        <v>393.64792119365774</v>
      </c>
      <c r="P81" s="634">
        <v>4.4000000000000004</v>
      </c>
      <c r="Q81" s="661">
        <f>(Q87-Q77)/10*4+Q77</f>
        <v>602.81528933910317</v>
      </c>
      <c r="R81" s="631">
        <v>4.4000000000000004</v>
      </c>
      <c r="S81" s="662">
        <f>(S87-S77)/10*4+S77</f>
        <v>719.35944779739884</v>
      </c>
      <c r="T81" s="634">
        <v>4.4000000000000004</v>
      </c>
      <c r="U81" s="661">
        <f>(U87-U77)/10*4+U77</f>
        <v>788.1567528722743</v>
      </c>
      <c r="V81" s="631">
        <v>4.4000000000000004</v>
      </c>
      <c r="W81" s="662">
        <f>(W87-W77)/10*4+W77</f>
        <v>1069.9839462442631</v>
      </c>
      <c r="X81" s="634">
        <v>4.4000000000000004</v>
      </c>
    </row>
    <row r="82" spans="1:24" hidden="1" x14ac:dyDescent="0.2">
      <c r="A82" s="661">
        <v>39.787647657252364</v>
      </c>
      <c r="B82" s="631">
        <v>4.5</v>
      </c>
      <c r="C82" s="662">
        <f t="shared" ref="C82" si="279">(C87-C77)/10*5+C77</f>
        <v>52.220697090409374</v>
      </c>
      <c r="D82" s="634">
        <v>4.5</v>
      </c>
      <c r="E82" s="661">
        <f t="shared" ref="E82" si="280">(E87-E77)/10*5+E77</f>
        <v>79.058287168585352</v>
      </c>
      <c r="F82" s="631">
        <v>4.5</v>
      </c>
      <c r="G82" s="662">
        <f t="shared" ref="G82" si="281">(G87-G77)/10*5+G77</f>
        <v>122.50455307408151</v>
      </c>
      <c r="H82" s="634">
        <v>4.5</v>
      </c>
      <c r="I82" s="661">
        <f t="shared" ref="I82" si="282">(I87-I77)/10*5+I77</f>
        <v>191.20466913187693</v>
      </c>
      <c r="J82" s="631">
        <v>4.5</v>
      </c>
      <c r="K82" s="662">
        <f t="shared" ref="K82" si="283">(K87-K77)/10*5+K77</f>
        <v>250.58488962496301</v>
      </c>
      <c r="L82" s="634">
        <v>4.5</v>
      </c>
      <c r="M82" s="661">
        <f t="shared" ref="M82" si="284">(M87-M77)/10*5+M77</f>
        <v>320.88699588755583</v>
      </c>
      <c r="N82" s="631">
        <v>4.5</v>
      </c>
      <c r="O82" s="662">
        <f t="shared" ref="O82" si="285">(O87-O77)/10*5+O77</f>
        <v>399.75394398126878</v>
      </c>
      <c r="P82" s="634">
        <v>4.5</v>
      </c>
      <c r="Q82" s="661">
        <f>(Q87-Q77)/10*5+Q77</f>
        <v>615.39543410056024</v>
      </c>
      <c r="R82" s="631">
        <v>4.5</v>
      </c>
      <c r="S82" s="662">
        <f>(S87-S77)/10*5+S77</f>
        <v>732.42833806796477</v>
      </c>
      <c r="T82" s="634">
        <v>4.5</v>
      </c>
      <c r="U82" s="661">
        <f>(U87-U77)/10*5+U77</f>
        <v>802.19566327419011</v>
      </c>
      <c r="V82" s="631">
        <v>4.5</v>
      </c>
      <c r="W82" s="662">
        <f>(W87-W77)/10*5+W77</f>
        <v>1089.7016073974137</v>
      </c>
      <c r="X82" s="634">
        <v>4.5</v>
      </c>
    </row>
    <row r="83" spans="1:24" hidden="1" x14ac:dyDescent="0.2">
      <c r="A83" s="661">
        <v>40.260674417129003</v>
      </c>
      <c r="B83" s="631">
        <v>4.5999999999999996</v>
      </c>
      <c r="C83" s="662">
        <f t="shared" ref="C83" si="286">(C87-C77)/10*6+C77</f>
        <v>53.0886841663891</v>
      </c>
      <c r="D83" s="634">
        <v>4.5999999999999996</v>
      </c>
      <c r="E83" s="661">
        <f t="shared" ref="E83" si="287">(E87-E77)/10*6+E77</f>
        <v>80.0652323801542</v>
      </c>
      <c r="F83" s="631">
        <v>4.5999999999999996</v>
      </c>
      <c r="G83" s="662">
        <f t="shared" ref="G83" si="288">(G87-G77)/10*6+G77</f>
        <v>124.16796155068261</v>
      </c>
      <c r="H83" s="634">
        <v>4.5999999999999996</v>
      </c>
      <c r="I83" s="661">
        <f t="shared" ref="I83" si="289">(I87-I77)/10*6+I77</f>
        <v>193.87359020967313</v>
      </c>
      <c r="J83" s="631">
        <v>4.5999999999999996</v>
      </c>
      <c r="K83" s="662">
        <f t="shared" ref="K83" si="290">(K87-K77)/10*6+K77</f>
        <v>252.55457019044249</v>
      </c>
      <c r="L83" s="634">
        <v>4.5999999999999996</v>
      </c>
      <c r="M83" s="661">
        <f t="shared" ref="M83" si="291">(M87-M77)/10*6+M77</f>
        <v>326.79483996553853</v>
      </c>
      <c r="N83" s="631">
        <v>4.5999999999999996</v>
      </c>
      <c r="O83" s="662">
        <f t="shared" ref="O83" si="292">(O87-O77)/10*6+O77</f>
        <v>405.85996676887987</v>
      </c>
      <c r="P83" s="634">
        <v>4.5999999999999996</v>
      </c>
      <c r="Q83" s="661">
        <f>(Q87-Q77)/10*6+Q77</f>
        <v>627.9755788620173</v>
      </c>
      <c r="R83" s="631">
        <v>4.5999999999999996</v>
      </c>
      <c r="S83" s="662">
        <f>(S87-S77)/10*6+S77</f>
        <v>745.4972283385307</v>
      </c>
      <c r="T83" s="634">
        <v>4.5999999999999996</v>
      </c>
      <c r="U83" s="661">
        <f>(U87-U77)/10*6+U77</f>
        <v>816.23457367610604</v>
      </c>
      <c r="V83" s="631">
        <v>4.5999999999999996</v>
      </c>
      <c r="W83" s="662">
        <f>(W87-W77)/10*6+W77</f>
        <v>1109.4192685505643</v>
      </c>
      <c r="X83" s="634">
        <v>4.5999999999999996</v>
      </c>
    </row>
    <row r="84" spans="1:24" hidden="1" x14ac:dyDescent="0.2">
      <c r="A84" s="661">
        <v>40.733701177005642</v>
      </c>
      <c r="B84" s="631">
        <v>4.7</v>
      </c>
      <c r="C84" s="662">
        <f t="shared" ref="C84" si="293">(C87-C77)/10*7+C77</f>
        <v>53.956671242368827</v>
      </c>
      <c r="D84" s="634">
        <v>4.7</v>
      </c>
      <c r="E84" s="661">
        <f t="shared" ref="E84" si="294">(E87-E77)/10*7+E77</f>
        <v>81.072177591723033</v>
      </c>
      <c r="F84" s="631">
        <v>4.7</v>
      </c>
      <c r="G84" s="662">
        <f t="shared" ref="G84" si="295">(G87-G77)/10*7+G77</f>
        <v>125.8313700272837</v>
      </c>
      <c r="H84" s="634">
        <v>4.7</v>
      </c>
      <c r="I84" s="661">
        <f t="shared" ref="I84" si="296">(I87-I77)/10*7+I77</f>
        <v>196.5425112874693</v>
      </c>
      <c r="J84" s="631">
        <v>4.7</v>
      </c>
      <c r="K84" s="662">
        <f t="shared" ref="K84" si="297">(K87-K77)/10*7+K77</f>
        <v>254.52425075592197</v>
      </c>
      <c r="L84" s="634">
        <v>4.7</v>
      </c>
      <c r="M84" s="661">
        <f t="shared" ref="M84" si="298">(M87-M77)/10*7+M77</f>
        <v>332.70268404352123</v>
      </c>
      <c r="N84" s="631">
        <v>4.7</v>
      </c>
      <c r="O84" s="662">
        <f t="shared" ref="O84" si="299">(O87-O77)/10*7+O77</f>
        <v>411.96598955649097</v>
      </c>
      <c r="P84" s="634">
        <v>4.7</v>
      </c>
      <c r="Q84" s="661">
        <f>(Q87-Q77)/10*7+Q77</f>
        <v>640.55572362347436</v>
      </c>
      <c r="R84" s="631">
        <v>4.7</v>
      </c>
      <c r="S84" s="662">
        <f>(S87-S77)/10*7+S77</f>
        <v>758.56611860909663</v>
      </c>
      <c r="T84" s="634">
        <v>4.7</v>
      </c>
      <c r="U84" s="661">
        <f>(U87-U77)/10*7+U77</f>
        <v>830.27348407802197</v>
      </c>
      <c r="V84" s="631">
        <v>4.7</v>
      </c>
      <c r="W84" s="662">
        <f>(W87-W77)/10*7+W77</f>
        <v>1129.1369297037149</v>
      </c>
      <c r="X84" s="634">
        <v>4.7</v>
      </c>
    </row>
    <row r="85" spans="1:24" hidden="1" x14ac:dyDescent="0.2">
      <c r="A85" s="661">
        <v>41.206727936882281</v>
      </c>
      <c r="B85" s="631">
        <v>4.8</v>
      </c>
      <c r="C85" s="662">
        <f t="shared" ref="C85" si="300">(C87-C77)/10*8+C77</f>
        <v>54.824658318348554</v>
      </c>
      <c r="D85" s="634">
        <v>4.8</v>
      </c>
      <c r="E85" s="661">
        <f t="shared" ref="E85" si="301">(E87-E77)/10*8+E77</f>
        <v>82.079122803291881</v>
      </c>
      <c r="F85" s="631">
        <v>4.8</v>
      </c>
      <c r="G85" s="662">
        <f t="shared" ref="G85" si="302">(G87-G77)/10*8+G77</f>
        <v>127.49477850388477</v>
      </c>
      <c r="H85" s="634">
        <v>4.8</v>
      </c>
      <c r="I85" s="661">
        <f t="shared" ref="I85" si="303">(I87-I77)/10*8+I77</f>
        <v>199.21143236526549</v>
      </c>
      <c r="J85" s="631">
        <v>4.8</v>
      </c>
      <c r="K85" s="662">
        <f t="shared" ref="K85" si="304">(K87-K77)/10*8+K77</f>
        <v>256.49393132140142</v>
      </c>
      <c r="L85" s="634">
        <v>4.8</v>
      </c>
      <c r="M85" s="661">
        <f t="shared" ref="M85" si="305">(M87-M77)/10*8+M77</f>
        <v>338.61052812150399</v>
      </c>
      <c r="N85" s="631">
        <v>4.8</v>
      </c>
      <c r="O85" s="662">
        <f t="shared" ref="O85" si="306">(O87-O77)/10*8+O77</f>
        <v>418.07201234410206</v>
      </c>
      <c r="P85" s="634">
        <v>4.8</v>
      </c>
      <c r="Q85" s="661">
        <f>(Q87-Q77)/10*8+Q77</f>
        <v>653.13586838493131</v>
      </c>
      <c r="R85" s="631">
        <v>4.8</v>
      </c>
      <c r="S85" s="662">
        <f>(S87-S77)/10*8+S77</f>
        <v>771.63500887966245</v>
      </c>
      <c r="T85" s="634">
        <v>4.8</v>
      </c>
      <c r="U85" s="661">
        <f>(U87-U77)/10*8+U77</f>
        <v>844.31239447993789</v>
      </c>
      <c r="V85" s="631">
        <v>4.8</v>
      </c>
      <c r="W85" s="662">
        <f>(W87-W77)/10*8+W77</f>
        <v>1148.8545908568656</v>
      </c>
      <c r="X85" s="634">
        <v>4.8</v>
      </c>
    </row>
    <row r="86" spans="1:24" hidden="1" x14ac:dyDescent="0.2">
      <c r="A86" s="661">
        <v>41.67975469675892</v>
      </c>
      <c r="B86" s="631">
        <v>4.9000000000000004</v>
      </c>
      <c r="C86" s="662">
        <f t="shared" ref="C86" si="307">(C87-C77)/10*9+C77</f>
        <v>55.692645394328281</v>
      </c>
      <c r="D86" s="634">
        <v>4.9000000000000004</v>
      </c>
      <c r="E86" s="661">
        <f t="shared" ref="E86" si="308">(E87-E77)/10*9+E77</f>
        <v>83.086068014860714</v>
      </c>
      <c r="F86" s="631">
        <v>4.9000000000000004</v>
      </c>
      <c r="G86" s="662">
        <f t="shared" ref="G86" si="309">(G87-G77)/10*9+G77</f>
        <v>129.15818698048585</v>
      </c>
      <c r="H86" s="634">
        <v>4.9000000000000004</v>
      </c>
      <c r="I86" s="661">
        <f t="shared" ref="I86" si="310">(I87-I77)/10*9+I77</f>
        <v>201.88035344306169</v>
      </c>
      <c r="J86" s="631">
        <v>4.9000000000000004</v>
      </c>
      <c r="K86" s="662">
        <f t="shared" ref="K86" si="311">(K87-K77)/10*9+K77</f>
        <v>258.46361188688093</v>
      </c>
      <c r="L86" s="634">
        <v>4.9000000000000004</v>
      </c>
      <c r="M86" s="661">
        <f t="shared" ref="M86" si="312">(M87-M77)/10*9+M77</f>
        <v>344.51837219948675</v>
      </c>
      <c r="N86" s="631">
        <v>4.9000000000000004</v>
      </c>
      <c r="O86" s="662">
        <f t="shared" ref="O86" si="313">(O87-O77)/10*9+O77</f>
        <v>424.1780351317131</v>
      </c>
      <c r="P86" s="634">
        <v>4.9000000000000004</v>
      </c>
      <c r="Q86" s="661">
        <f>(Q87-Q77)/10*9+Q77</f>
        <v>665.71601314638838</v>
      </c>
      <c r="R86" s="631">
        <v>4.9000000000000004</v>
      </c>
      <c r="S86" s="662">
        <f>(S87-S77)/10*9+S77</f>
        <v>784.70389915022838</v>
      </c>
      <c r="T86" s="634">
        <v>4.9000000000000004</v>
      </c>
      <c r="U86" s="661">
        <f>(U87-U77)/10*9+U77</f>
        <v>858.35130488185371</v>
      </c>
      <c r="V86" s="631">
        <v>4.9000000000000004</v>
      </c>
      <c r="W86" s="662">
        <f>(W87-W77)/10*9+W77</f>
        <v>1168.5722520100162</v>
      </c>
      <c r="X86" s="634">
        <v>4.9000000000000004</v>
      </c>
    </row>
    <row r="87" spans="1:24" hidden="1" x14ac:dyDescent="0.2">
      <c r="A87" s="661">
        <v>42.152781456635559</v>
      </c>
      <c r="B87" s="631">
        <v>5</v>
      </c>
      <c r="C87" s="662">
        <v>56.560632470308008</v>
      </c>
      <c r="D87" s="634">
        <v>5</v>
      </c>
      <c r="E87" s="661">
        <v>84.093013226429562</v>
      </c>
      <c r="F87" s="631">
        <v>5</v>
      </c>
      <c r="G87" s="662">
        <v>130.82159545708694</v>
      </c>
      <c r="H87" s="634">
        <v>5</v>
      </c>
      <c r="I87" s="661">
        <v>204.54927452085789</v>
      </c>
      <c r="J87" s="631">
        <v>5</v>
      </c>
      <c r="K87" s="662">
        <v>260.43329245236038</v>
      </c>
      <c r="L87" s="634">
        <v>5</v>
      </c>
      <c r="M87" s="661">
        <v>350.42621627746945</v>
      </c>
      <c r="N87" s="631">
        <v>5</v>
      </c>
      <c r="O87" s="662">
        <v>430.2840579193242</v>
      </c>
      <c r="P87" s="634">
        <v>5</v>
      </c>
      <c r="Q87" s="661">
        <v>678.29615790784544</v>
      </c>
      <c r="R87" s="631">
        <v>5</v>
      </c>
      <c r="S87" s="662">
        <v>797.77278942079431</v>
      </c>
      <c r="T87" s="634">
        <v>5</v>
      </c>
      <c r="U87" s="661">
        <v>872.39021528376963</v>
      </c>
      <c r="V87" s="631">
        <v>5</v>
      </c>
      <c r="W87" s="662">
        <v>1188.2899131631668</v>
      </c>
      <c r="X87" s="634">
        <v>5</v>
      </c>
    </row>
    <row r="88" spans="1:24" hidden="1" x14ac:dyDescent="0.2">
      <c r="A88" s="661">
        <v>42.919127882078037</v>
      </c>
      <c r="B88" s="631">
        <v>5.0999999999999996</v>
      </c>
      <c r="C88" s="662">
        <f t="shared" ref="C88" si="314">(C97-C87)/10*1+C87</f>
        <v>57.506052988047578</v>
      </c>
      <c r="D88" s="634">
        <v>5.0999999999999996</v>
      </c>
      <c r="E88" s="661">
        <f t="shared" ref="E88" si="315">(E97-E87)/10*1+E87</f>
        <v>85.234897794852614</v>
      </c>
      <c r="F88" s="631">
        <v>5.0999999999999996</v>
      </c>
      <c r="G88" s="662">
        <f t="shared" ref="G88" si="316">(G97-G87)/10*1+G87</f>
        <v>133.32490927037179</v>
      </c>
      <c r="H88" s="634">
        <v>5.0999999999999996</v>
      </c>
      <c r="I88" s="661">
        <f t="shared" ref="I88" si="317">(I97-I87)/10*1+I87</f>
        <v>206.94762154355146</v>
      </c>
      <c r="J88" s="631">
        <v>5.0999999999999996</v>
      </c>
      <c r="K88" s="662">
        <f t="shared" ref="K88" si="318">(K97-K87)/10*1+K87</f>
        <v>263.46425762288027</v>
      </c>
      <c r="L88" s="634">
        <v>5.0999999999999996</v>
      </c>
      <c r="M88" s="661">
        <f t="shared" ref="M88" si="319">(M97-M87)/10*1+M87</f>
        <v>356.57867434814892</v>
      </c>
      <c r="N88" s="631">
        <v>5.0999999999999996</v>
      </c>
      <c r="O88" s="662">
        <f t="shared" ref="O88" si="320">(O97-O87)/10*1+O87</f>
        <v>436.83306754767034</v>
      </c>
      <c r="P88" s="634">
        <v>5.0999999999999996</v>
      </c>
      <c r="Q88" s="661">
        <f>(Q97-Q87)/10*1+Q87</f>
        <v>688.22546284327052</v>
      </c>
      <c r="R88" s="631">
        <v>5.0999999999999996</v>
      </c>
      <c r="S88" s="662">
        <f>(S97-S87)/10*1+S87</f>
        <v>808.41618480884324</v>
      </c>
      <c r="T88" s="634">
        <v>5.0999999999999996</v>
      </c>
      <c r="U88" s="661">
        <f>(U97-U87)/10*1+U87</f>
        <v>887.49384066697871</v>
      </c>
      <c r="V88" s="631">
        <v>5.0999999999999996</v>
      </c>
      <c r="W88" s="662">
        <f>(W97-W87)/10*1+W87</f>
        <v>1206.1977606266059</v>
      </c>
      <c r="X88" s="634">
        <v>5.0999999999999996</v>
      </c>
    </row>
    <row r="89" spans="1:24" hidden="1" x14ac:dyDescent="0.2">
      <c r="A89" s="661">
        <v>43.685474307520515</v>
      </c>
      <c r="B89" s="631">
        <v>5.2</v>
      </c>
      <c r="C89" s="662">
        <f t="shared" ref="C89" si="321">(C97-C87)/10*2+C87</f>
        <v>58.451473505787156</v>
      </c>
      <c r="D89" s="634">
        <v>5.2</v>
      </c>
      <c r="E89" s="661">
        <f t="shared" ref="E89" si="322">(E97-E87)/10*2+E87</f>
        <v>86.376782363275666</v>
      </c>
      <c r="F89" s="631">
        <v>5.2</v>
      </c>
      <c r="G89" s="662">
        <f t="shared" ref="G89" si="323">(G97-G87)/10*2+G87</f>
        <v>135.82822308365667</v>
      </c>
      <c r="H89" s="634">
        <v>5.2</v>
      </c>
      <c r="I89" s="661">
        <f t="shared" ref="I89" si="324">(I97-I87)/10*2+I87</f>
        <v>209.34596856624501</v>
      </c>
      <c r="J89" s="631">
        <v>5.2</v>
      </c>
      <c r="K89" s="662">
        <f t="shared" ref="K89" si="325">(K97-K87)/10*2+K87</f>
        <v>266.49522279340016</v>
      </c>
      <c r="L89" s="634">
        <v>5.2</v>
      </c>
      <c r="M89" s="661">
        <f t="shared" ref="M89" si="326">(M97-M87)/10*2+M87</f>
        <v>362.73113241882845</v>
      </c>
      <c r="N89" s="631">
        <v>5.2</v>
      </c>
      <c r="O89" s="662">
        <f t="shared" ref="O89" si="327">(O97-O87)/10*2+O87</f>
        <v>443.38207717601642</v>
      </c>
      <c r="P89" s="634">
        <v>5.2</v>
      </c>
      <c r="Q89" s="661">
        <f>(Q97-Q87)/10*2+Q87</f>
        <v>698.1547677786956</v>
      </c>
      <c r="R89" s="631">
        <v>5.2</v>
      </c>
      <c r="S89" s="662">
        <f>(S97-S87)/10*2+S87</f>
        <v>819.05958019689228</v>
      </c>
      <c r="T89" s="634">
        <v>5.2</v>
      </c>
      <c r="U89" s="661">
        <f>(U97-U87)/10*2+U87</f>
        <v>902.5974660501879</v>
      </c>
      <c r="V89" s="631">
        <v>5.2</v>
      </c>
      <c r="W89" s="662">
        <f>(W97-W87)/10*2+W87</f>
        <v>1224.1056080900451</v>
      </c>
      <c r="X89" s="634">
        <v>5.2</v>
      </c>
    </row>
    <row r="90" spans="1:24" hidden="1" x14ac:dyDescent="0.2">
      <c r="A90" s="661">
        <v>44.451820732963</v>
      </c>
      <c r="B90" s="631">
        <v>5.3</v>
      </c>
      <c r="C90" s="662">
        <f t="shared" ref="C90" si="328">(C97-C87)/10*3+C87</f>
        <v>59.396894023526727</v>
      </c>
      <c r="D90" s="634">
        <v>5.3</v>
      </c>
      <c r="E90" s="661">
        <f t="shared" ref="E90" si="329">(E97-E87)/10*3+E87</f>
        <v>87.518666931698718</v>
      </c>
      <c r="F90" s="631">
        <v>5.3</v>
      </c>
      <c r="G90" s="662">
        <f t="shared" ref="G90" si="330">(G97-G87)/10*3+G87</f>
        <v>138.33153689694151</v>
      </c>
      <c r="H90" s="634">
        <v>5.3</v>
      </c>
      <c r="I90" s="661">
        <f t="shared" ref="I90" si="331">(I97-I87)/10*3+I87</f>
        <v>211.74431558893858</v>
      </c>
      <c r="J90" s="631">
        <v>5.3</v>
      </c>
      <c r="K90" s="662">
        <f t="shared" ref="K90" si="332">(K97-K87)/10*3+K87</f>
        <v>269.52618796392005</v>
      </c>
      <c r="L90" s="634">
        <v>5.3</v>
      </c>
      <c r="M90" s="661">
        <f t="shared" ref="M90" si="333">(M97-M87)/10*3+M87</f>
        <v>368.88359048950792</v>
      </c>
      <c r="N90" s="631">
        <v>5.3</v>
      </c>
      <c r="O90" s="662">
        <f t="shared" ref="O90" si="334">(O97-O87)/10*3+O87</f>
        <v>449.93108680436251</v>
      </c>
      <c r="P90" s="634">
        <v>5.3</v>
      </c>
      <c r="Q90" s="661">
        <f>(Q97-Q87)/10*3+Q87</f>
        <v>708.08407271412068</v>
      </c>
      <c r="R90" s="631">
        <v>5.3</v>
      </c>
      <c r="S90" s="662">
        <f>(S97-S87)/10*3+S87</f>
        <v>829.70297558494121</v>
      </c>
      <c r="T90" s="634">
        <v>5.3</v>
      </c>
      <c r="U90" s="661">
        <f>(U97-U87)/10*3+U87</f>
        <v>917.7010914333971</v>
      </c>
      <c r="V90" s="631">
        <v>5.3</v>
      </c>
      <c r="W90" s="662">
        <f>(W97-W87)/10*3+W87</f>
        <v>1242.0134555534844</v>
      </c>
      <c r="X90" s="634">
        <v>5.3</v>
      </c>
    </row>
    <row r="91" spans="1:24" hidden="1" x14ac:dyDescent="0.2">
      <c r="A91" s="661">
        <v>45.218167158405478</v>
      </c>
      <c r="B91" s="631">
        <v>5.4</v>
      </c>
      <c r="C91" s="662">
        <f t="shared" ref="C91" si="335">(C97-C87)/10*4+C87</f>
        <v>60.342314541266305</v>
      </c>
      <c r="D91" s="634">
        <v>5.4</v>
      </c>
      <c r="E91" s="661">
        <f t="shared" ref="E91" si="336">(E97-E87)/10*4+E87</f>
        <v>88.66055150012177</v>
      </c>
      <c r="F91" s="631">
        <v>5.4</v>
      </c>
      <c r="G91" s="662">
        <f t="shared" ref="G91" si="337">(G97-G87)/10*4+G87</f>
        <v>140.83485071022639</v>
      </c>
      <c r="H91" s="634">
        <v>5.4</v>
      </c>
      <c r="I91" s="661">
        <f t="shared" ref="I91" si="338">(I97-I87)/10*4+I87</f>
        <v>214.14266261163212</v>
      </c>
      <c r="J91" s="631">
        <v>5.4</v>
      </c>
      <c r="K91" s="662">
        <f t="shared" ref="K91" si="339">(K97-K87)/10*4+K87</f>
        <v>272.55715313443994</v>
      </c>
      <c r="L91" s="634">
        <v>5.4</v>
      </c>
      <c r="M91" s="661">
        <f t="shared" ref="M91" si="340">(M97-M87)/10*4+M87</f>
        <v>375.0360485601874</v>
      </c>
      <c r="N91" s="631">
        <v>5.4</v>
      </c>
      <c r="O91" s="662">
        <f t="shared" ref="O91" si="341">(O97-O87)/10*4+O87</f>
        <v>456.48009643270865</v>
      </c>
      <c r="P91" s="634">
        <v>5.4</v>
      </c>
      <c r="Q91" s="661">
        <f>(Q97-Q87)/10*4+Q87</f>
        <v>718.01337764954576</v>
      </c>
      <c r="R91" s="631">
        <v>5.4</v>
      </c>
      <c r="S91" s="662">
        <f>(S97-S87)/10*4+S87</f>
        <v>840.34637097299014</v>
      </c>
      <c r="T91" s="634">
        <v>5.4</v>
      </c>
      <c r="U91" s="661">
        <f>(U97-U87)/10*4+U87</f>
        <v>932.80471681660617</v>
      </c>
      <c r="V91" s="631">
        <v>5.4</v>
      </c>
      <c r="W91" s="662">
        <f>(W97-W87)/10*4+W87</f>
        <v>1259.9213030169235</v>
      </c>
      <c r="X91" s="634">
        <v>5.4</v>
      </c>
    </row>
    <row r="92" spans="1:24" hidden="1" x14ac:dyDescent="0.2">
      <c r="A92" s="661">
        <v>45.984513583847956</v>
      </c>
      <c r="B92" s="631">
        <v>5.5</v>
      </c>
      <c r="C92" s="662">
        <f t="shared" ref="C92" si="342">(C97-C87)/10*5+C87</f>
        <v>61.287735059005875</v>
      </c>
      <c r="D92" s="634">
        <v>5.5</v>
      </c>
      <c r="E92" s="661">
        <f t="shared" ref="E92" si="343">(E97-E87)/10*5+E87</f>
        <v>89.802436068544807</v>
      </c>
      <c r="F92" s="631">
        <v>5.5</v>
      </c>
      <c r="G92" s="662">
        <f t="shared" ref="G92" si="344">(G97-G87)/10*5+G87</f>
        <v>143.33816452351124</v>
      </c>
      <c r="H92" s="634">
        <v>5.5</v>
      </c>
      <c r="I92" s="661">
        <f t="shared" ref="I92" si="345">(I97-I87)/10*5+I87</f>
        <v>216.54100963432569</v>
      </c>
      <c r="J92" s="631">
        <v>5.5</v>
      </c>
      <c r="K92" s="662">
        <f t="shared" ref="K92" si="346">(K97-K87)/10*5+K87</f>
        <v>275.58811830495983</v>
      </c>
      <c r="L92" s="634">
        <v>5.5</v>
      </c>
      <c r="M92" s="661">
        <f t="shared" ref="M92" si="347">(M97-M87)/10*5+M87</f>
        <v>381.18850663086687</v>
      </c>
      <c r="N92" s="631">
        <v>5.5</v>
      </c>
      <c r="O92" s="662">
        <f t="shared" ref="O92" si="348">(O97-O87)/10*5+O87</f>
        <v>463.02910606105479</v>
      </c>
      <c r="P92" s="634">
        <v>5.5</v>
      </c>
      <c r="Q92" s="661">
        <f>(Q97-Q87)/10*5+Q87</f>
        <v>727.94268258497095</v>
      </c>
      <c r="R92" s="631">
        <v>5.5</v>
      </c>
      <c r="S92" s="662">
        <f>(S97-S87)/10*5+S87</f>
        <v>850.98976636103907</v>
      </c>
      <c r="T92" s="634">
        <v>5.5</v>
      </c>
      <c r="U92" s="661">
        <f>(U97-U87)/10*5+U87</f>
        <v>947.90834219981525</v>
      </c>
      <c r="V92" s="631">
        <v>5.5</v>
      </c>
      <c r="W92" s="662">
        <f>(W97-W87)/10*5+W87</f>
        <v>1277.8291504803626</v>
      </c>
      <c r="X92" s="634">
        <v>5.5</v>
      </c>
    </row>
    <row r="93" spans="1:24" hidden="1" x14ac:dyDescent="0.2">
      <c r="A93" s="661">
        <v>46.750860009290435</v>
      </c>
      <c r="B93" s="631">
        <v>5.6</v>
      </c>
      <c r="C93" s="662">
        <f t="shared" ref="C93" si="349">(C97-C87)/10*6+C87</f>
        <v>62.233155576745446</v>
      </c>
      <c r="D93" s="634">
        <v>5.6</v>
      </c>
      <c r="E93" s="661">
        <f t="shared" ref="E93" si="350">(E97-E87)/10*6+E87</f>
        <v>90.944320636967859</v>
      </c>
      <c r="F93" s="631">
        <v>5.6</v>
      </c>
      <c r="G93" s="662">
        <f t="shared" ref="G93" si="351">(G97-G87)/10*6+G87</f>
        <v>145.84147833679609</v>
      </c>
      <c r="H93" s="634">
        <v>5.6</v>
      </c>
      <c r="I93" s="661">
        <f t="shared" ref="I93" si="352">(I97-I87)/10*6+I87</f>
        <v>218.93935665701926</v>
      </c>
      <c r="J93" s="631">
        <v>5.6</v>
      </c>
      <c r="K93" s="662">
        <f t="shared" ref="K93" si="353">(K97-K87)/10*6+K87</f>
        <v>278.61908347547967</v>
      </c>
      <c r="L93" s="634">
        <v>5.6</v>
      </c>
      <c r="M93" s="661">
        <f t="shared" ref="M93" si="354">(M97-M87)/10*6+M87</f>
        <v>387.3409647015464</v>
      </c>
      <c r="N93" s="631">
        <v>5.6</v>
      </c>
      <c r="O93" s="662">
        <f t="shared" ref="O93" si="355">(O97-O87)/10*6+O87</f>
        <v>469.57811568940087</v>
      </c>
      <c r="P93" s="634">
        <v>5.6</v>
      </c>
      <c r="Q93" s="661">
        <f>(Q97-Q87)/10*6+Q87</f>
        <v>737.87198752039603</v>
      </c>
      <c r="R93" s="631">
        <v>5.6</v>
      </c>
      <c r="S93" s="662">
        <f>(S97-S87)/10*6+S87</f>
        <v>861.63316174908812</v>
      </c>
      <c r="T93" s="634">
        <v>5.6</v>
      </c>
      <c r="U93" s="661">
        <f>(U97-U87)/10*6+U87</f>
        <v>963.01196758302444</v>
      </c>
      <c r="V93" s="631">
        <v>5.6</v>
      </c>
      <c r="W93" s="662">
        <f>(W97-W87)/10*6+W87</f>
        <v>1295.7369979438017</v>
      </c>
      <c r="X93" s="634">
        <v>5.6</v>
      </c>
    </row>
    <row r="94" spans="1:24" hidden="1" x14ac:dyDescent="0.2">
      <c r="A94" s="661">
        <v>47.517206434732913</v>
      </c>
      <c r="B94" s="631">
        <v>5.7</v>
      </c>
      <c r="C94" s="662">
        <f t="shared" ref="C94" si="356">(C97-C87)/10*7+C87</f>
        <v>63.178576094485024</v>
      </c>
      <c r="D94" s="634">
        <v>5.7</v>
      </c>
      <c r="E94" s="661">
        <f t="shared" ref="E94" si="357">(E97-E87)/10*7+E87</f>
        <v>92.086205205390911</v>
      </c>
      <c r="F94" s="631">
        <v>5.7</v>
      </c>
      <c r="G94" s="662">
        <f t="shared" ref="G94" si="358">(G97-G87)/10*7+G87</f>
        <v>148.34479215008096</v>
      </c>
      <c r="H94" s="634">
        <v>5.7</v>
      </c>
      <c r="I94" s="661">
        <f t="shared" ref="I94" si="359">(I97-I87)/10*7+I87</f>
        <v>221.3377036797128</v>
      </c>
      <c r="J94" s="631">
        <v>5.7</v>
      </c>
      <c r="K94" s="662">
        <f t="shared" ref="K94" si="360">(K97-K87)/10*7+K87</f>
        <v>281.65004864599956</v>
      </c>
      <c r="L94" s="634">
        <v>5.7</v>
      </c>
      <c r="M94" s="661">
        <f t="shared" ref="M94" si="361">(M97-M87)/10*7+M87</f>
        <v>393.49342277222587</v>
      </c>
      <c r="N94" s="631">
        <v>5.7</v>
      </c>
      <c r="O94" s="662">
        <f t="shared" ref="O94" si="362">(O97-O87)/10*7+O87</f>
        <v>476.12712531774696</v>
      </c>
      <c r="P94" s="634">
        <v>5.7</v>
      </c>
      <c r="Q94" s="661">
        <f>(Q97-Q87)/10*7+Q87</f>
        <v>747.80129245582111</v>
      </c>
      <c r="R94" s="631">
        <v>5.7</v>
      </c>
      <c r="S94" s="662">
        <f>(S97-S87)/10*7+S87</f>
        <v>872.27655713713705</v>
      </c>
      <c r="T94" s="634">
        <v>5.7</v>
      </c>
      <c r="U94" s="661">
        <f>(U97-U87)/10*7+U87</f>
        <v>978.11559296623363</v>
      </c>
      <c r="V94" s="631">
        <v>5.7</v>
      </c>
      <c r="W94" s="662">
        <f>(W97-W87)/10*7+W87</f>
        <v>1313.6448454072408</v>
      </c>
      <c r="X94" s="634">
        <v>5.7</v>
      </c>
    </row>
    <row r="95" spans="1:24" hidden="1" x14ac:dyDescent="0.2">
      <c r="A95" s="661">
        <v>48.283552860175398</v>
      </c>
      <c r="B95" s="631">
        <v>5.8</v>
      </c>
      <c r="C95" s="662">
        <f t="shared" ref="C95" si="363">(C97-C87)/10*8+C87</f>
        <v>64.123996612224602</v>
      </c>
      <c r="D95" s="634">
        <v>5.8</v>
      </c>
      <c r="E95" s="661">
        <f t="shared" ref="E95" si="364">(E97-E87)/10*8+E87</f>
        <v>93.228089773813963</v>
      </c>
      <c r="F95" s="631">
        <v>5.8</v>
      </c>
      <c r="G95" s="662">
        <f t="shared" ref="G95" si="365">(G97-G87)/10*8+G87</f>
        <v>150.84810596336581</v>
      </c>
      <c r="H95" s="634">
        <v>5.8</v>
      </c>
      <c r="I95" s="661">
        <f t="shared" ref="I95" si="366">(I97-I87)/10*8+I87</f>
        <v>223.73605070240637</v>
      </c>
      <c r="J95" s="631">
        <v>5.8</v>
      </c>
      <c r="K95" s="662">
        <f t="shared" ref="K95" si="367">(K97-K87)/10*8+K87</f>
        <v>284.68101381651945</v>
      </c>
      <c r="L95" s="634">
        <v>5.8</v>
      </c>
      <c r="M95" s="661">
        <f t="shared" ref="M95" si="368">(M97-M87)/10*8+M87</f>
        <v>399.64588084290534</v>
      </c>
      <c r="N95" s="631">
        <v>5.8</v>
      </c>
      <c r="O95" s="662">
        <f t="shared" ref="O95" si="369">(O97-O87)/10*8+O87</f>
        <v>482.6761349460931</v>
      </c>
      <c r="P95" s="634">
        <v>5.8</v>
      </c>
      <c r="Q95" s="661">
        <f>(Q97-Q87)/10*8+Q87</f>
        <v>757.73059739124619</v>
      </c>
      <c r="R95" s="631">
        <v>5.8</v>
      </c>
      <c r="S95" s="662">
        <f>(S97-S87)/10*8+S87</f>
        <v>882.91995252518598</v>
      </c>
      <c r="T95" s="634">
        <v>5.8</v>
      </c>
      <c r="U95" s="661">
        <f>(U97-U87)/10*8+U87</f>
        <v>993.21921834944271</v>
      </c>
      <c r="V95" s="631">
        <v>5.8</v>
      </c>
      <c r="W95" s="662">
        <f>(W97-W87)/10*8+W87</f>
        <v>1331.5526928706802</v>
      </c>
      <c r="X95" s="634">
        <v>5.8</v>
      </c>
    </row>
    <row r="96" spans="1:24" hidden="1" x14ac:dyDescent="0.2">
      <c r="A96" s="661">
        <v>49.049899285617876</v>
      </c>
      <c r="B96" s="631">
        <v>5.9</v>
      </c>
      <c r="C96" s="662">
        <f t="shared" ref="C96" si="370">(C97-C87)/10*9+C87</f>
        <v>65.069417129964165</v>
      </c>
      <c r="D96" s="634">
        <v>5.9</v>
      </c>
      <c r="E96" s="661">
        <f t="shared" ref="E96" si="371">(E97-E87)/10*9+E87</f>
        <v>94.369974342237015</v>
      </c>
      <c r="F96" s="631">
        <v>5.9</v>
      </c>
      <c r="G96" s="662">
        <f t="shared" ref="G96" si="372">(G97-G87)/10*9+G87</f>
        <v>153.35141977665069</v>
      </c>
      <c r="H96" s="634">
        <v>5.9</v>
      </c>
      <c r="I96" s="661">
        <f t="shared" ref="I96" si="373">(I97-I87)/10*9+I87</f>
        <v>226.13439772509992</v>
      </c>
      <c r="J96" s="631">
        <v>5.9</v>
      </c>
      <c r="K96" s="662">
        <f t="shared" ref="K96" si="374">(K97-K87)/10*9+K87</f>
        <v>287.71197898703934</v>
      </c>
      <c r="L96" s="634">
        <v>5.9</v>
      </c>
      <c r="M96" s="661">
        <f t="shared" ref="M96" si="375">(M97-M87)/10*9+M87</f>
        <v>405.79833891358487</v>
      </c>
      <c r="N96" s="631">
        <v>5.9</v>
      </c>
      <c r="O96" s="662">
        <f t="shared" ref="O96" si="376">(O97-O87)/10*9+O87</f>
        <v>489.22514457443924</v>
      </c>
      <c r="P96" s="634">
        <v>5.9</v>
      </c>
      <c r="Q96" s="661">
        <f>(Q97-Q87)/10*9+Q87</f>
        <v>767.65990232667127</v>
      </c>
      <c r="R96" s="631">
        <v>5.9</v>
      </c>
      <c r="S96" s="662">
        <f>(S97-S87)/10*9+S87</f>
        <v>893.56334791323502</v>
      </c>
      <c r="T96" s="634">
        <v>5.9</v>
      </c>
      <c r="U96" s="661">
        <f>(U97-U87)/10*9+U87</f>
        <v>1008.3228437326518</v>
      </c>
      <c r="V96" s="631">
        <v>5.9</v>
      </c>
      <c r="W96" s="662">
        <f>(W97-W87)/10*9+W87</f>
        <v>1349.4605403341193</v>
      </c>
      <c r="X96" s="634">
        <v>5.9</v>
      </c>
    </row>
    <row r="97" spans="1:24" hidden="1" x14ac:dyDescent="0.2">
      <c r="A97" s="661">
        <v>49.816245711060354</v>
      </c>
      <c r="B97" s="631">
        <v>6</v>
      </c>
      <c r="C97" s="662">
        <v>66.014837647703743</v>
      </c>
      <c r="D97" s="634">
        <v>6</v>
      </c>
      <c r="E97" s="661">
        <v>95.511858910660067</v>
      </c>
      <c r="F97" s="631">
        <v>6</v>
      </c>
      <c r="G97" s="662">
        <v>155.85473358993553</v>
      </c>
      <c r="H97" s="634">
        <v>6</v>
      </c>
      <c r="I97" s="661">
        <v>228.53274474779349</v>
      </c>
      <c r="J97" s="631">
        <v>6</v>
      </c>
      <c r="K97" s="662">
        <v>290.74294415755924</v>
      </c>
      <c r="L97" s="634">
        <v>6</v>
      </c>
      <c r="M97" s="661">
        <v>411.95079698426434</v>
      </c>
      <c r="N97" s="631">
        <v>6</v>
      </c>
      <c r="O97" s="662">
        <v>495.77415420278533</v>
      </c>
      <c r="P97" s="634">
        <v>6</v>
      </c>
      <c r="Q97" s="661">
        <v>777.58920726209635</v>
      </c>
      <c r="R97" s="631">
        <v>6</v>
      </c>
      <c r="S97" s="662">
        <v>904.20674330128395</v>
      </c>
      <c r="T97" s="634">
        <v>6</v>
      </c>
      <c r="U97" s="661">
        <v>1023.426469115861</v>
      </c>
      <c r="V97" s="631">
        <v>6</v>
      </c>
      <c r="W97" s="662">
        <v>1367.3683877975584</v>
      </c>
      <c r="X97" s="634">
        <v>6</v>
      </c>
    </row>
    <row r="98" spans="1:24" hidden="1" x14ac:dyDescent="0.2">
      <c r="A98" s="661">
        <v>50.656581383965353</v>
      </c>
      <c r="B98" s="631">
        <v>6.1</v>
      </c>
      <c r="C98" s="662">
        <f t="shared" ref="C98" si="377">(C107-C97)/10*1+C97</f>
        <v>67.00727878933121</v>
      </c>
      <c r="D98" s="634">
        <v>6.1</v>
      </c>
      <c r="E98" s="661">
        <f t="shared" ref="E98" si="378">(E107-E97)/10*1+E97</f>
        <v>96.731302113105869</v>
      </c>
      <c r="F98" s="631">
        <v>6.1</v>
      </c>
      <c r="G98" s="662">
        <f t="shared" ref="G98" si="379">(G107-G97)/10*1+G97</f>
        <v>158.32103067472607</v>
      </c>
      <c r="H98" s="634">
        <v>6.1</v>
      </c>
      <c r="I98" s="661">
        <f t="shared" ref="I98" si="380">(I107-I97)/10*1+I97</f>
        <v>230.57611763442978</v>
      </c>
      <c r="J98" s="631">
        <v>6.1</v>
      </c>
      <c r="K98" s="662">
        <f t="shared" ref="K98" si="381">(K107-K97)/10*1+K97</f>
        <v>294.18197142809169</v>
      </c>
      <c r="L98" s="634">
        <v>6.1</v>
      </c>
      <c r="M98" s="661">
        <f t="shared" ref="M98" si="382">(M107-M97)/10*1+M97</f>
        <v>417.07261924356891</v>
      </c>
      <c r="N98" s="631">
        <v>6.1</v>
      </c>
      <c r="O98" s="662">
        <f t="shared" ref="O98" si="383">(O107-O97)/10*1+O97</f>
        <v>503.38326151844763</v>
      </c>
      <c r="P98" s="634">
        <v>6.1</v>
      </c>
      <c r="Q98" s="661">
        <f>(Q107-Q97)/10*1+Q97</f>
        <v>786.80660342750002</v>
      </c>
      <c r="R98" s="631">
        <v>6.1</v>
      </c>
      <c r="S98" s="662">
        <f>(S107-S97)/10*1+S97</f>
        <v>913.42610531290359</v>
      </c>
      <c r="T98" s="634">
        <v>6.1</v>
      </c>
      <c r="U98" s="661">
        <f>(U107-U97)/10*1+U97</f>
        <v>1035.2657495042974</v>
      </c>
      <c r="V98" s="631">
        <v>6.1</v>
      </c>
      <c r="W98" s="662">
        <f>(W107-W97)/10*1+W97</f>
        <v>1380.8412101205038</v>
      </c>
      <c r="X98" s="634">
        <v>6.1</v>
      </c>
    </row>
    <row r="99" spans="1:24" hidden="1" x14ac:dyDescent="0.2">
      <c r="A99" s="661">
        <v>51.496917056870352</v>
      </c>
      <c r="B99" s="631">
        <v>6.2</v>
      </c>
      <c r="C99" s="662">
        <f t="shared" ref="C99" si="384">(C107-C97)/10*2+C97</f>
        <v>67.999719930958676</v>
      </c>
      <c r="D99" s="634">
        <v>6.2</v>
      </c>
      <c r="E99" s="661">
        <f t="shared" ref="E99" si="385">(E107-E97)/10*2+E97</f>
        <v>97.950745315551657</v>
      </c>
      <c r="F99" s="631">
        <v>6.2</v>
      </c>
      <c r="G99" s="662">
        <f t="shared" ref="G99" si="386">(G107-G97)/10*2+G97</f>
        <v>160.78732775951664</v>
      </c>
      <c r="H99" s="634">
        <v>6.2</v>
      </c>
      <c r="I99" s="661">
        <f t="shared" ref="I99" si="387">(I107-I97)/10*2+I97</f>
        <v>232.61949052106607</v>
      </c>
      <c r="J99" s="631">
        <v>6.2</v>
      </c>
      <c r="K99" s="662">
        <f t="shared" ref="K99" si="388">(K107-K97)/10*2+K97</f>
        <v>297.62099869862413</v>
      </c>
      <c r="L99" s="634">
        <v>6.2</v>
      </c>
      <c r="M99" s="661">
        <f t="shared" ref="M99" si="389">(M107-M97)/10*2+M97</f>
        <v>422.19444150287347</v>
      </c>
      <c r="N99" s="631">
        <v>6.2</v>
      </c>
      <c r="O99" s="662">
        <f t="shared" ref="O99" si="390">(O107-O97)/10*2+O97</f>
        <v>510.99236883410987</v>
      </c>
      <c r="P99" s="634">
        <v>6.2</v>
      </c>
      <c r="Q99" s="661">
        <f>(Q107-Q97)/10*2+Q97</f>
        <v>796.02399959290369</v>
      </c>
      <c r="R99" s="631">
        <v>6.2</v>
      </c>
      <c r="S99" s="662">
        <f>(S107-S97)/10*2+S97</f>
        <v>922.64546732452322</v>
      </c>
      <c r="T99" s="634">
        <v>6.2</v>
      </c>
      <c r="U99" s="661">
        <f>(U107-U97)/10*2+U97</f>
        <v>1047.1050298927337</v>
      </c>
      <c r="V99" s="631">
        <v>6.2</v>
      </c>
      <c r="W99" s="662">
        <f>(W107-W97)/10*2+W97</f>
        <v>1394.3140324434492</v>
      </c>
      <c r="X99" s="634">
        <v>6.2</v>
      </c>
    </row>
    <row r="100" spans="1:24" hidden="1" x14ac:dyDescent="0.2">
      <c r="A100" s="661">
        <v>52.337252729775344</v>
      </c>
      <c r="B100" s="631">
        <v>6.3</v>
      </c>
      <c r="C100" s="662">
        <f t="shared" ref="C100" si="391">(C107-C97)/10*3+C97</f>
        <v>68.992161072586143</v>
      </c>
      <c r="D100" s="634">
        <v>6.3</v>
      </c>
      <c r="E100" s="661">
        <f t="shared" ref="E100" si="392">(E107-E97)/10*3+E97</f>
        <v>99.17018851799746</v>
      </c>
      <c r="F100" s="631">
        <v>6.3</v>
      </c>
      <c r="G100" s="662">
        <f t="shared" ref="G100" si="393">(G107-G97)/10*3+G97</f>
        <v>163.25362484430718</v>
      </c>
      <c r="H100" s="634">
        <v>6.3</v>
      </c>
      <c r="I100" s="661">
        <f t="shared" ref="I100" si="394">(I107-I97)/10*3+I97</f>
        <v>234.66286340770239</v>
      </c>
      <c r="J100" s="631">
        <v>6.3</v>
      </c>
      <c r="K100" s="662">
        <f t="shared" ref="K100" si="395">(K107-K97)/10*3+K97</f>
        <v>301.06002596915653</v>
      </c>
      <c r="L100" s="634">
        <v>6.3</v>
      </c>
      <c r="M100" s="661">
        <f t="shared" ref="M100" si="396">(M107-M97)/10*3+M97</f>
        <v>427.3162637621781</v>
      </c>
      <c r="N100" s="631">
        <v>6.3</v>
      </c>
      <c r="O100" s="662">
        <f t="shared" ref="O100" si="397">(O107-O97)/10*3+O97</f>
        <v>518.60147614977211</v>
      </c>
      <c r="P100" s="634">
        <v>6.3</v>
      </c>
      <c r="Q100" s="661">
        <f>(Q107-Q97)/10*3+Q97</f>
        <v>805.24139575830736</v>
      </c>
      <c r="R100" s="631">
        <v>6.3</v>
      </c>
      <c r="S100" s="662">
        <f>(S107-S97)/10*3+S97</f>
        <v>931.86482933614275</v>
      </c>
      <c r="T100" s="634">
        <v>6.3</v>
      </c>
      <c r="U100" s="661">
        <f>(U107-U97)/10*3+U97</f>
        <v>1058.9443102811701</v>
      </c>
      <c r="V100" s="631">
        <v>6.3</v>
      </c>
      <c r="W100" s="662">
        <f>(W107-W97)/10*3+W97</f>
        <v>1407.7868547663945</v>
      </c>
      <c r="X100" s="634">
        <v>6.3</v>
      </c>
    </row>
    <row r="101" spans="1:24" hidden="1" x14ac:dyDescent="0.2">
      <c r="A101" s="661">
        <v>53.177588402680342</v>
      </c>
      <c r="B101" s="631">
        <v>6.4</v>
      </c>
      <c r="C101" s="662">
        <f t="shared" ref="C101" si="398">(C107-C97)/10*4+C97</f>
        <v>69.984602214213609</v>
      </c>
      <c r="D101" s="634">
        <v>6.4</v>
      </c>
      <c r="E101" s="661">
        <f t="shared" ref="E101" si="399">(E107-E97)/10*4+E97</f>
        <v>100.38963172044326</v>
      </c>
      <c r="F101" s="631">
        <v>6.4</v>
      </c>
      <c r="G101" s="662">
        <f t="shared" ref="G101" si="400">(G107-G97)/10*4+G97</f>
        <v>165.71992192909775</v>
      </c>
      <c r="H101" s="634">
        <v>6.4</v>
      </c>
      <c r="I101" s="661">
        <f t="shared" ref="I101" si="401">(I107-I97)/10*4+I97</f>
        <v>236.70623629433868</v>
      </c>
      <c r="J101" s="631">
        <v>6.4</v>
      </c>
      <c r="K101" s="662">
        <f t="shared" ref="K101" si="402">(K107-K97)/10*4+K97</f>
        <v>304.49905323968898</v>
      </c>
      <c r="L101" s="634">
        <v>6.4</v>
      </c>
      <c r="M101" s="661">
        <f t="shared" ref="M101" si="403">(M107-M97)/10*4+M97</f>
        <v>432.43808602148266</v>
      </c>
      <c r="N101" s="631">
        <v>6.4</v>
      </c>
      <c r="O101" s="662">
        <f t="shared" ref="O101" si="404">(O107-O97)/10*4+O97</f>
        <v>526.21058346543441</v>
      </c>
      <c r="P101" s="634">
        <v>6.4</v>
      </c>
      <c r="Q101" s="661">
        <f>(Q107-Q97)/10*4+Q97</f>
        <v>814.45879192371103</v>
      </c>
      <c r="R101" s="631">
        <v>6.4</v>
      </c>
      <c r="S101" s="662">
        <f>(S107-S97)/10*4+S97</f>
        <v>941.08419134776238</v>
      </c>
      <c r="T101" s="634">
        <v>6.4</v>
      </c>
      <c r="U101" s="661">
        <f>(U107-U97)/10*4+U97</f>
        <v>1070.7835906696066</v>
      </c>
      <c r="V101" s="631">
        <v>6.4</v>
      </c>
      <c r="W101" s="662">
        <f>(W107-W97)/10*4+W97</f>
        <v>1421.2596770893399</v>
      </c>
      <c r="X101" s="634">
        <v>6.4</v>
      </c>
    </row>
    <row r="102" spans="1:24" hidden="1" x14ac:dyDescent="0.2">
      <c r="A102" s="661">
        <v>54.017924075585341</v>
      </c>
      <c r="B102" s="631">
        <v>6.5</v>
      </c>
      <c r="C102" s="662">
        <f t="shared" ref="C102" si="405">(C107-C97)/10*5+C97</f>
        <v>70.977043355841062</v>
      </c>
      <c r="D102" s="634">
        <v>6.5</v>
      </c>
      <c r="E102" s="661">
        <f t="shared" ref="E102" si="406">(E107-E97)/10*5+E97</f>
        <v>101.60907492288905</v>
      </c>
      <c r="F102" s="631">
        <v>6.5</v>
      </c>
      <c r="G102" s="662">
        <f t="shared" ref="G102" si="407">(G107-G97)/10*5+G97</f>
        <v>168.18621901388829</v>
      </c>
      <c r="H102" s="634">
        <v>6.5</v>
      </c>
      <c r="I102" s="661">
        <f t="shared" ref="I102" si="408">(I107-I97)/10*5+I97</f>
        <v>238.74960918097497</v>
      </c>
      <c r="J102" s="631">
        <v>6.5</v>
      </c>
      <c r="K102" s="662">
        <f t="shared" ref="K102" si="409">(K107-K97)/10*5+K97</f>
        <v>307.93808051022143</v>
      </c>
      <c r="L102" s="634">
        <v>6.5</v>
      </c>
      <c r="M102" s="661">
        <f t="shared" ref="M102" si="410">(M107-M97)/10*5+M97</f>
        <v>437.55990828078723</v>
      </c>
      <c r="N102" s="631">
        <v>6.5</v>
      </c>
      <c r="O102" s="662">
        <f t="shared" ref="O102" si="411">(O107-O97)/10*5+O97</f>
        <v>533.81969078109671</v>
      </c>
      <c r="P102" s="634">
        <v>6.5</v>
      </c>
      <c r="Q102" s="661">
        <f>(Q107-Q97)/10*5+Q97</f>
        <v>823.6761880891147</v>
      </c>
      <c r="R102" s="631">
        <v>6.5</v>
      </c>
      <c r="S102" s="662">
        <f>(S107-S97)/10*5+S97</f>
        <v>950.30355335938202</v>
      </c>
      <c r="T102" s="634">
        <v>6.5</v>
      </c>
      <c r="U102" s="661">
        <f>(U107-U97)/10*5+U97</f>
        <v>1082.6228710580431</v>
      </c>
      <c r="V102" s="631">
        <v>6.5</v>
      </c>
      <c r="W102" s="662">
        <f>(W107-W97)/10*5+W97</f>
        <v>1434.7324994122853</v>
      </c>
      <c r="X102" s="634">
        <v>6.5</v>
      </c>
    </row>
    <row r="103" spans="1:24" hidden="1" x14ac:dyDescent="0.2">
      <c r="A103" s="661">
        <v>54.85825974849034</v>
      </c>
      <c r="B103" s="631">
        <v>6.6</v>
      </c>
      <c r="C103" s="662">
        <f t="shared" ref="C103" si="412">(C107-C97)/10*6+C97</f>
        <v>71.969484497468528</v>
      </c>
      <c r="D103" s="634">
        <v>6.6</v>
      </c>
      <c r="E103" s="661">
        <f t="shared" ref="E103" si="413">(E107-E97)/10*6+E97</f>
        <v>102.82851812533485</v>
      </c>
      <c r="F103" s="631">
        <v>6.6</v>
      </c>
      <c r="G103" s="662">
        <f t="shared" ref="G103" si="414">(G107-G97)/10*6+G97</f>
        <v>170.65251609867883</v>
      </c>
      <c r="H103" s="634">
        <v>6.6</v>
      </c>
      <c r="I103" s="661">
        <f t="shared" ref="I103" si="415">(I107-I97)/10*6+I97</f>
        <v>240.79298206761126</v>
      </c>
      <c r="J103" s="631">
        <v>6.6</v>
      </c>
      <c r="K103" s="662">
        <f t="shared" ref="K103" si="416">(K107-K97)/10*6+K97</f>
        <v>311.37710778075387</v>
      </c>
      <c r="L103" s="634">
        <v>6.6</v>
      </c>
      <c r="M103" s="661">
        <f t="shared" ref="M103" si="417">(M107-M97)/10*6+M97</f>
        <v>442.68173054009179</v>
      </c>
      <c r="N103" s="631">
        <v>6.6</v>
      </c>
      <c r="O103" s="662">
        <f t="shared" ref="O103" si="418">(O107-O97)/10*6+O97</f>
        <v>541.42879809675901</v>
      </c>
      <c r="P103" s="634">
        <v>6.6</v>
      </c>
      <c r="Q103" s="661">
        <f>(Q107-Q97)/10*6+Q97</f>
        <v>832.89358425451849</v>
      </c>
      <c r="R103" s="631">
        <v>6.6</v>
      </c>
      <c r="S103" s="662">
        <f>(S107-S97)/10*6+S97</f>
        <v>959.52291537100166</v>
      </c>
      <c r="T103" s="634">
        <v>6.6</v>
      </c>
      <c r="U103" s="661">
        <f>(U107-U97)/10*6+U97</f>
        <v>1094.4621514464793</v>
      </c>
      <c r="V103" s="631">
        <v>6.6</v>
      </c>
      <c r="W103" s="662">
        <f>(W107-W97)/10*6+W97</f>
        <v>1448.2053217352307</v>
      </c>
      <c r="X103" s="634">
        <v>6.6</v>
      </c>
    </row>
    <row r="104" spans="1:24" hidden="1" x14ac:dyDescent="0.2">
      <c r="A104" s="661">
        <v>55.698595421395339</v>
      </c>
      <c r="B104" s="631">
        <v>6.7</v>
      </c>
      <c r="C104" s="662">
        <f t="shared" ref="C104" si="419">(C107-C97)/10*7+C97</f>
        <v>72.961925639095995</v>
      </c>
      <c r="D104" s="634">
        <v>6.7</v>
      </c>
      <c r="E104" s="661">
        <f t="shared" ref="E104" si="420">(E107-E97)/10*7+E97</f>
        <v>104.04796132778065</v>
      </c>
      <c r="F104" s="631">
        <v>6.7</v>
      </c>
      <c r="G104" s="662">
        <f t="shared" ref="G104" si="421">(G107-G97)/10*7+G97</f>
        <v>173.1188131834694</v>
      </c>
      <c r="H104" s="634">
        <v>6.7</v>
      </c>
      <c r="I104" s="661">
        <f t="shared" ref="I104" si="422">(I107-I97)/10*7+I97</f>
        <v>242.83635495424755</v>
      </c>
      <c r="J104" s="631">
        <v>6.7</v>
      </c>
      <c r="K104" s="662">
        <f t="shared" ref="K104" si="423">(K107-K97)/10*7+K97</f>
        <v>314.81613505128632</v>
      </c>
      <c r="L104" s="634">
        <v>6.7</v>
      </c>
      <c r="M104" s="661">
        <f t="shared" ref="M104" si="424">(M107-M97)/10*7+M97</f>
        <v>447.80355279939636</v>
      </c>
      <c r="N104" s="631">
        <v>6.7</v>
      </c>
      <c r="O104" s="662">
        <f t="shared" ref="O104" si="425">(O107-O97)/10*7+O97</f>
        <v>549.03790541242131</v>
      </c>
      <c r="P104" s="634">
        <v>6.7</v>
      </c>
      <c r="Q104" s="661">
        <f>(Q107-Q97)/10*7+Q97</f>
        <v>842.11098041992216</v>
      </c>
      <c r="R104" s="631">
        <v>6.7</v>
      </c>
      <c r="S104" s="662">
        <f>(S107-S97)/10*7+S97</f>
        <v>968.7422773826213</v>
      </c>
      <c r="T104" s="634">
        <v>6.7</v>
      </c>
      <c r="U104" s="661">
        <f>(U107-U97)/10*7+U97</f>
        <v>1106.3014318349158</v>
      </c>
      <c r="V104" s="631">
        <v>6.7</v>
      </c>
      <c r="W104" s="662">
        <f>(W107-W97)/10*7+W97</f>
        <v>1461.678144058176</v>
      </c>
      <c r="X104" s="634">
        <v>6.7</v>
      </c>
    </row>
    <row r="105" spans="1:24" hidden="1" x14ac:dyDescent="0.2">
      <c r="A105" s="661">
        <v>56.538931094300331</v>
      </c>
      <c r="B105" s="631">
        <v>6.8</v>
      </c>
      <c r="C105" s="662">
        <f t="shared" ref="C105" si="426">(C107-C97)/10*8+C97</f>
        <v>73.954366780723461</v>
      </c>
      <c r="D105" s="634">
        <v>6.8</v>
      </c>
      <c r="E105" s="661">
        <f t="shared" ref="E105" si="427">(E107-E97)/10*8+E97</f>
        <v>105.26740453022646</v>
      </c>
      <c r="F105" s="631">
        <v>6.8</v>
      </c>
      <c r="G105" s="662">
        <f t="shared" ref="G105" si="428">(G107-G97)/10*8+G97</f>
        <v>175.58511026825994</v>
      </c>
      <c r="H105" s="634">
        <v>6.8</v>
      </c>
      <c r="I105" s="661">
        <f t="shared" ref="I105" si="429">(I107-I97)/10*8+I97</f>
        <v>244.87972784088387</v>
      </c>
      <c r="J105" s="631">
        <v>6.8</v>
      </c>
      <c r="K105" s="662">
        <f t="shared" ref="K105" si="430">(K107-K97)/10*8+K97</f>
        <v>318.25516232181872</v>
      </c>
      <c r="L105" s="634">
        <v>6.8</v>
      </c>
      <c r="M105" s="661">
        <f t="shared" ref="M105" si="431">(M107-M97)/10*8+M97</f>
        <v>452.92537505870098</v>
      </c>
      <c r="N105" s="631">
        <v>6.8</v>
      </c>
      <c r="O105" s="662">
        <f t="shared" ref="O105" si="432">(O107-O97)/10*8+O97</f>
        <v>556.6470127280835</v>
      </c>
      <c r="P105" s="634">
        <v>6.8</v>
      </c>
      <c r="Q105" s="661">
        <f>(Q107-Q97)/10*8+Q97</f>
        <v>851.32837658532583</v>
      </c>
      <c r="R105" s="631">
        <v>6.8</v>
      </c>
      <c r="S105" s="662">
        <f>(S107-S97)/10*8+S97</f>
        <v>977.96163939424082</v>
      </c>
      <c r="T105" s="634">
        <v>6.8</v>
      </c>
      <c r="U105" s="661">
        <f>(U107-U97)/10*8+U97</f>
        <v>1118.1407122233522</v>
      </c>
      <c r="V105" s="631">
        <v>6.8</v>
      </c>
      <c r="W105" s="662">
        <f>(W107-W97)/10*8+W97</f>
        <v>1475.1509663811214</v>
      </c>
      <c r="X105" s="634">
        <v>6.8</v>
      </c>
    </row>
    <row r="106" spans="1:24" hidden="1" x14ac:dyDescent="0.2">
      <c r="A106" s="661">
        <v>57.37926676720533</v>
      </c>
      <c r="B106" s="631">
        <v>6.9</v>
      </c>
      <c r="C106" s="662">
        <f t="shared" ref="C106" si="433">(C107-C97)/10*9+C97</f>
        <v>74.946807922350928</v>
      </c>
      <c r="D106" s="634">
        <v>6.9</v>
      </c>
      <c r="E106" s="661">
        <f t="shared" ref="E106" si="434">(E107-E97)/10*9+E97</f>
        <v>106.48684773267225</v>
      </c>
      <c r="F106" s="631">
        <v>6.9</v>
      </c>
      <c r="G106" s="662">
        <f t="shared" ref="G106" si="435">(G107-G97)/10*9+G97</f>
        <v>178.05140735305051</v>
      </c>
      <c r="H106" s="634">
        <v>6.9</v>
      </c>
      <c r="I106" s="661">
        <f t="shared" ref="I106" si="436">(I107-I97)/10*9+I97</f>
        <v>246.92310072752016</v>
      </c>
      <c r="J106" s="631">
        <v>6.9</v>
      </c>
      <c r="K106" s="662">
        <f t="shared" ref="K106" si="437">(K107-K97)/10*9+K97</f>
        <v>321.69418959235117</v>
      </c>
      <c r="L106" s="634">
        <v>6.9</v>
      </c>
      <c r="M106" s="661">
        <f t="shared" ref="M106" si="438">(M107-M97)/10*9+M97</f>
        <v>458.04719731800554</v>
      </c>
      <c r="N106" s="631">
        <v>6.9</v>
      </c>
      <c r="O106" s="662">
        <f t="shared" ref="O106" si="439">(O107-O97)/10*9+O97</f>
        <v>564.2561200437458</v>
      </c>
      <c r="P106" s="634">
        <v>6.9</v>
      </c>
      <c r="Q106" s="661">
        <f>(Q107-Q97)/10*9+Q97</f>
        <v>860.5457727507295</v>
      </c>
      <c r="R106" s="631">
        <v>6.9</v>
      </c>
      <c r="S106" s="662">
        <f>(S107-S97)/10*9+S97</f>
        <v>987.18100140586046</v>
      </c>
      <c r="T106" s="634">
        <v>6.9</v>
      </c>
      <c r="U106" s="661">
        <f>(U107-U97)/10*9+U97</f>
        <v>1129.9799926117885</v>
      </c>
      <c r="V106" s="631">
        <v>6.9</v>
      </c>
      <c r="W106" s="662">
        <f>(W107-W97)/10*9+W97</f>
        <v>1488.6237887040668</v>
      </c>
      <c r="X106" s="634">
        <v>6.9</v>
      </c>
    </row>
    <row r="107" spans="1:24" hidden="1" x14ac:dyDescent="0.2">
      <c r="A107" s="661">
        <v>58.219602440110329</v>
      </c>
      <c r="B107" s="631">
        <v>7</v>
      </c>
      <c r="C107" s="662">
        <v>75.939249063978394</v>
      </c>
      <c r="D107" s="634">
        <v>7</v>
      </c>
      <c r="E107" s="661">
        <v>107.70629093511805</v>
      </c>
      <c r="F107" s="631">
        <v>7</v>
      </c>
      <c r="G107" s="662">
        <v>180.51770443784105</v>
      </c>
      <c r="H107" s="634">
        <v>7</v>
      </c>
      <c r="I107" s="661">
        <v>248.96647361415646</v>
      </c>
      <c r="J107" s="631">
        <v>7</v>
      </c>
      <c r="K107" s="662">
        <v>325.13321686288361</v>
      </c>
      <c r="L107" s="634">
        <v>7</v>
      </c>
      <c r="M107" s="661">
        <v>463.16901957731011</v>
      </c>
      <c r="N107" s="631">
        <v>7</v>
      </c>
      <c r="O107" s="662">
        <v>571.8652273594081</v>
      </c>
      <c r="P107" s="634">
        <v>7</v>
      </c>
      <c r="Q107" s="661">
        <v>869.76316891613317</v>
      </c>
      <c r="R107" s="631">
        <v>7</v>
      </c>
      <c r="S107" s="662">
        <v>996.40036341748009</v>
      </c>
      <c r="T107" s="634">
        <v>7</v>
      </c>
      <c r="U107" s="661">
        <v>1141.8192730002249</v>
      </c>
      <c r="V107" s="631">
        <v>7</v>
      </c>
      <c r="W107" s="662">
        <v>1502.0966110270122</v>
      </c>
      <c r="X107" s="634">
        <v>7</v>
      </c>
    </row>
    <row r="108" spans="1:24" hidden="1" x14ac:dyDescent="0.2">
      <c r="A108" s="661">
        <v>58.809031939537014</v>
      </c>
      <c r="B108" s="631">
        <v>7.1</v>
      </c>
      <c r="C108" s="662">
        <f t="shared" ref="C108" si="440">(C117-C107)/10*1+C107</f>
        <v>76.886133676859089</v>
      </c>
      <c r="D108" s="634">
        <v>7.1</v>
      </c>
      <c r="E108" s="661">
        <f t="shared" ref="E108" si="441">(E117-E107)/10*1+E107</f>
        <v>108.86307737745292</v>
      </c>
      <c r="F108" s="631">
        <v>7.1</v>
      </c>
      <c r="G108" s="662">
        <f t="shared" ref="G108" si="442">(G117-G107)/10*1+G107</f>
        <v>182.71639151825931</v>
      </c>
      <c r="H108" s="634">
        <v>7.1</v>
      </c>
      <c r="I108" s="661">
        <f t="shared" ref="I108" si="443">(I117-I107)/10*1+I107</f>
        <v>250.38248332831051</v>
      </c>
      <c r="J108" s="631">
        <v>7.1</v>
      </c>
      <c r="K108" s="662">
        <f t="shared" ref="K108" si="444">(K117-K107)/10*1+K107</f>
        <v>329.07569286668826</v>
      </c>
      <c r="L108" s="634">
        <v>7.1</v>
      </c>
      <c r="M108" s="661">
        <f t="shared" ref="M108" si="445">(M117-M107)/10*1+M107</f>
        <v>466.17807764541965</v>
      </c>
      <c r="N108" s="631">
        <v>7.1</v>
      </c>
      <c r="O108" s="662">
        <f t="shared" ref="O108" si="446">(O117-O107)/10*1+O107</f>
        <v>578.69144953955674</v>
      </c>
      <c r="P108" s="634">
        <v>7.1</v>
      </c>
      <c r="Q108" s="661">
        <f>(Q117-Q107)/10*1+Q107</f>
        <v>878.17811058361599</v>
      </c>
      <c r="R108" s="631">
        <v>7.1</v>
      </c>
      <c r="S108" s="662">
        <f>(S117-S107)/10*1+S107</f>
        <v>1004.7412383826354</v>
      </c>
      <c r="T108" s="634">
        <v>7.1</v>
      </c>
      <c r="U108" s="661">
        <f>(U117-U107)/10*1+U107</f>
        <v>1155.5018306314973</v>
      </c>
      <c r="V108" s="631">
        <v>7.1</v>
      </c>
      <c r="W108" s="662">
        <f>(W117-W107)/10*1+W107</f>
        <v>1512.7934353709682</v>
      </c>
      <c r="X108" s="634">
        <v>7.1</v>
      </c>
    </row>
    <row r="109" spans="1:24" hidden="1" x14ac:dyDescent="0.2">
      <c r="A109" s="661">
        <v>59.398461438963693</v>
      </c>
      <c r="B109" s="631">
        <v>7.2</v>
      </c>
      <c r="C109" s="662">
        <f t="shared" ref="C109" si="447">(C117-C107)/10*2+C107</f>
        <v>77.833018289739769</v>
      </c>
      <c r="D109" s="634">
        <v>7.2</v>
      </c>
      <c r="E109" s="661">
        <f t="shared" ref="E109" si="448">(E117-E107)/10*2+E107</f>
        <v>110.01986381978782</v>
      </c>
      <c r="F109" s="631">
        <v>7.2</v>
      </c>
      <c r="G109" s="662">
        <f t="shared" ref="G109" si="449">(G117-G107)/10*2+G107</f>
        <v>184.91507859867758</v>
      </c>
      <c r="H109" s="634">
        <v>7.2</v>
      </c>
      <c r="I109" s="661">
        <f t="shared" ref="I109" si="450">(I117-I107)/10*2+I107</f>
        <v>251.79849304246454</v>
      </c>
      <c r="J109" s="631">
        <v>7.2</v>
      </c>
      <c r="K109" s="662">
        <f t="shared" ref="K109" si="451">(K117-K107)/10*2+K107</f>
        <v>333.0181688704929</v>
      </c>
      <c r="L109" s="634">
        <v>7.2</v>
      </c>
      <c r="M109" s="661">
        <f t="shared" ref="M109" si="452">(M117-M107)/10*2+M107</f>
        <v>469.18713571352913</v>
      </c>
      <c r="N109" s="631">
        <v>7.2</v>
      </c>
      <c r="O109" s="662">
        <f t="shared" ref="O109" si="453">(O117-O107)/10*2+O107</f>
        <v>585.51767171970539</v>
      </c>
      <c r="P109" s="634">
        <v>7.2</v>
      </c>
      <c r="Q109" s="661">
        <f>(Q117-Q107)/10*2+Q107</f>
        <v>886.59305225109881</v>
      </c>
      <c r="R109" s="631">
        <v>7.2</v>
      </c>
      <c r="S109" s="662">
        <f>(S117-S107)/10*2+S107</f>
        <v>1013.0821133477907</v>
      </c>
      <c r="T109" s="634">
        <v>7.2</v>
      </c>
      <c r="U109" s="661">
        <f>(U117-U107)/10*2+U107</f>
        <v>1169.1843882627697</v>
      </c>
      <c r="V109" s="631">
        <v>7.2</v>
      </c>
      <c r="W109" s="662">
        <f>(W117-W107)/10*2+W107</f>
        <v>1523.4902597149239</v>
      </c>
      <c r="X109" s="634">
        <v>7.2</v>
      </c>
    </row>
    <row r="110" spans="1:24" hidden="1" x14ac:dyDescent="0.2">
      <c r="A110" s="661">
        <v>59.987890938390379</v>
      </c>
      <c r="B110" s="631">
        <v>7.3</v>
      </c>
      <c r="C110" s="662">
        <f t="shared" ref="C110" si="454">(C117-C107)/10*3+C107</f>
        <v>78.779902902620464</v>
      </c>
      <c r="D110" s="634">
        <v>7.3</v>
      </c>
      <c r="E110" s="661">
        <f t="shared" ref="E110" si="455">(E117-E107)/10*3+E107</f>
        <v>111.17665026212269</v>
      </c>
      <c r="F110" s="631">
        <v>7.3</v>
      </c>
      <c r="G110" s="662">
        <f t="shared" ref="G110" si="456">(G117-G107)/10*3+G107</f>
        <v>187.11376567909585</v>
      </c>
      <c r="H110" s="634">
        <v>7.3</v>
      </c>
      <c r="I110" s="661">
        <f t="shared" ref="I110" si="457">(I117-I107)/10*3+I107</f>
        <v>253.2145027566186</v>
      </c>
      <c r="J110" s="631">
        <v>7.3</v>
      </c>
      <c r="K110" s="662">
        <f t="shared" ref="K110" si="458">(K117-K107)/10*3+K107</f>
        <v>336.9606448742976</v>
      </c>
      <c r="L110" s="634">
        <v>7.3</v>
      </c>
      <c r="M110" s="661">
        <f t="shared" ref="M110" si="459">(M117-M107)/10*3+M107</f>
        <v>472.19619378163867</v>
      </c>
      <c r="N110" s="631">
        <v>7.3</v>
      </c>
      <c r="O110" s="662">
        <f t="shared" ref="O110" si="460">(O117-O107)/10*3+O107</f>
        <v>592.34389389985404</v>
      </c>
      <c r="P110" s="634">
        <v>7.3</v>
      </c>
      <c r="Q110" s="661">
        <f>(Q117-Q107)/10*3+Q107</f>
        <v>895.00799391858152</v>
      </c>
      <c r="R110" s="631">
        <v>7.3</v>
      </c>
      <c r="S110" s="662">
        <f>(S117-S107)/10*3+S107</f>
        <v>1021.4229883129459</v>
      </c>
      <c r="T110" s="634">
        <v>7.3</v>
      </c>
      <c r="U110" s="661">
        <f>(U117-U107)/10*3+U107</f>
        <v>1182.8669458940421</v>
      </c>
      <c r="V110" s="631">
        <v>7.3</v>
      </c>
      <c r="W110" s="662">
        <f>(W117-W107)/10*3+W107</f>
        <v>1534.1870840588799</v>
      </c>
      <c r="X110" s="634">
        <v>7.3</v>
      </c>
    </row>
    <row r="111" spans="1:24" hidden="1" x14ac:dyDescent="0.2">
      <c r="A111" s="661">
        <v>60.577320437817065</v>
      </c>
      <c r="B111" s="631">
        <v>7.4</v>
      </c>
      <c r="C111" s="662">
        <f t="shared" ref="C111" si="461">(C117-C107)/10*4+C107</f>
        <v>79.726787515501158</v>
      </c>
      <c r="D111" s="634">
        <v>7.4</v>
      </c>
      <c r="E111" s="661">
        <f t="shared" ref="E111" si="462">(E117-E107)/10*4+E107</f>
        <v>112.33343670445758</v>
      </c>
      <c r="F111" s="631">
        <v>7.4</v>
      </c>
      <c r="G111" s="662">
        <f t="shared" ref="G111" si="463">(G117-G107)/10*4+G107</f>
        <v>189.31245275951412</v>
      </c>
      <c r="H111" s="634">
        <v>7.4</v>
      </c>
      <c r="I111" s="661">
        <f t="shared" ref="I111" si="464">(I117-I107)/10*4+I107</f>
        <v>254.63051247077266</v>
      </c>
      <c r="J111" s="631">
        <v>7.4</v>
      </c>
      <c r="K111" s="662">
        <f t="shared" ref="K111" si="465">(K117-K107)/10*4+K107</f>
        <v>340.90312087810224</v>
      </c>
      <c r="L111" s="634">
        <v>7.4</v>
      </c>
      <c r="M111" s="661">
        <f t="shared" ref="M111" si="466">(M117-M107)/10*4+M107</f>
        <v>475.20525184974815</v>
      </c>
      <c r="N111" s="631">
        <v>7.4</v>
      </c>
      <c r="O111" s="662">
        <f t="shared" ref="O111" si="467">(O117-O107)/10*4+O107</f>
        <v>599.17011608000269</v>
      </c>
      <c r="P111" s="634">
        <v>7.4</v>
      </c>
      <c r="Q111" s="661">
        <f>(Q117-Q107)/10*4+Q107</f>
        <v>903.42293558606434</v>
      </c>
      <c r="R111" s="631">
        <v>7.4</v>
      </c>
      <c r="S111" s="662">
        <f>(S117-S107)/10*4+S107</f>
        <v>1029.7638632781013</v>
      </c>
      <c r="T111" s="634">
        <v>7.4</v>
      </c>
      <c r="U111" s="661">
        <f>(U117-U107)/10*4+U107</f>
        <v>1196.5495035253145</v>
      </c>
      <c r="V111" s="631">
        <v>7.4</v>
      </c>
      <c r="W111" s="662">
        <f>(W117-W107)/10*4+W107</f>
        <v>1544.8839084028357</v>
      </c>
      <c r="X111" s="634">
        <v>7.4</v>
      </c>
    </row>
    <row r="112" spans="1:24" hidden="1" x14ac:dyDescent="0.2">
      <c r="A112" s="661">
        <v>61.16674993724375</v>
      </c>
      <c r="B112" s="631">
        <v>7.5</v>
      </c>
      <c r="C112" s="662">
        <f t="shared" ref="C112" si="468">(C117-C107)/10*5+C107</f>
        <v>80.673672128381838</v>
      </c>
      <c r="D112" s="634">
        <v>7.5</v>
      </c>
      <c r="E112" s="661">
        <f t="shared" ref="E112" si="469">(E117-E107)/10*5+E107</f>
        <v>113.49022314679246</v>
      </c>
      <c r="F112" s="631">
        <v>7.5</v>
      </c>
      <c r="G112" s="662">
        <f t="shared" ref="G112" si="470">(G117-G107)/10*5+G107</f>
        <v>191.51113983993241</v>
      </c>
      <c r="H112" s="634">
        <v>7.5</v>
      </c>
      <c r="I112" s="661">
        <f t="shared" ref="I112" si="471">(I117-I107)/10*5+I107</f>
        <v>256.04652218492669</v>
      </c>
      <c r="J112" s="631">
        <v>7.5</v>
      </c>
      <c r="K112" s="662">
        <f t="shared" ref="K112" si="472">(K117-K107)/10*5+K107</f>
        <v>344.84559688190689</v>
      </c>
      <c r="L112" s="634">
        <v>7.5</v>
      </c>
      <c r="M112" s="661">
        <f t="shared" ref="M112" si="473">(M117-M107)/10*5+M107</f>
        <v>478.21430991785769</v>
      </c>
      <c r="N112" s="631">
        <v>7.5</v>
      </c>
      <c r="O112" s="662">
        <f t="shared" ref="O112" si="474">(O117-O107)/10*5+O107</f>
        <v>605.99633826015133</v>
      </c>
      <c r="P112" s="634">
        <v>7.5</v>
      </c>
      <c r="Q112" s="661">
        <f>(Q117-Q107)/10*5+Q107</f>
        <v>911.83787725354716</v>
      </c>
      <c r="R112" s="631">
        <v>7.5</v>
      </c>
      <c r="S112" s="662">
        <f>(S117-S107)/10*5+S107</f>
        <v>1038.1047382432566</v>
      </c>
      <c r="T112" s="634">
        <v>7.5</v>
      </c>
      <c r="U112" s="661">
        <f>(U117-U107)/10*5+U107</f>
        <v>1210.232061156587</v>
      </c>
      <c r="V112" s="631">
        <v>7.5</v>
      </c>
      <c r="W112" s="662">
        <f>(W117-W107)/10*5+W107</f>
        <v>1555.5807327467917</v>
      </c>
      <c r="X112" s="634">
        <v>7.5</v>
      </c>
    </row>
    <row r="113" spans="1:24" hidden="1" x14ac:dyDescent="0.2">
      <c r="A113" s="661">
        <v>61.756179436670429</v>
      </c>
      <c r="B113" s="631">
        <v>7.6</v>
      </c>
      <c r="C113" s="662">
        <f t="shared" ref="C113" si="475">(C117-C107)/10*6+C107</f>
        <v>81.620556741262533</v>
      </c>
      <c r="D113" s="634">
        <v>7.6</v>
      </c>
      <c r="E113" s="661">
        <f t="shared" ref="E113" si="476">(E117-E107)/10*6+E107</f>
        <v>114.64700958912734</v>
      </c>
      <c r="F113" s="631">
        <v>7.6</v>
      </c>
      <c r="G113" s="662">
        <f t="shared" ref="G113" si="477">(G117-G107)/10*6+G107</f>
        <v>193.70982692035068</v>
      </c>
      <c r="H113" s="634">
        <v>7.6</v>
      </c>
      <c r="I113" s="661">
        <f t="shared" ref="I113" si="478">(I117-I107)/10*6+I107</f>
        <v>257.46253189908077</v>
      </c>
      <c r="J113" s="631">
        <v>7.6</v>
      </c>
      <c r="K113" s="662">
        <f t="shared" ref="K113" si="479">(K117-K107)/10*6+K107</f>
        <v>348.78807288571153</v>
      </c>
      <c r="L113" s="634">
        <v>7.6</v>
      </c>
      <c r="M113" s="661">
        <f t="shared" ref="M113" si="480">(M117-M107)/10*6+M107</f>
        <v>481.22336798596723</v>
      </c>
      <c r="N113" s="631">
        <v>7.6</v>
      </c>
      <c r="O113" s="662">
        <f t="shared" ref="O113" si="481">(O117-O107)/10*6+O107</f>
        <v>612.82256044029987</v>
      </c>
      <c r="P113" s="634">
        <v>7.6</v>
      </c>
      <c r="Q113" s="661">
        <f>(Q117-Q107)/10*6+Q107</f>
        <v>920.25281892102998</v>
      </c>
      <c r="R113" s="631">
        <v>7.6</v>
      </c>
      <c r="S113" s="662">
        <f>(S117-S107)/10*6+S107</f>
        <v>1046.4456132084117</v>
      </c>
      <c r="T113" s="634">
        <v>7.6</v>
      </c>
      <c r="U113" s="661">
        <f>(U117-U107)/10*6+U107</f>
        <v>1223.9146187878596</v>
      </c>
      <c r="V113" s="631">
        <v>7.6</v>
      </c>
      <c r="W113" s="662">
        <f>(W117-W107)/10*6+W107</f>
        <v>1566.2775570907477</v>
      </c>
      <c r="X113" s="634">
        <v>7.6</v>
      </c>
    </row>
    <row r="114" spans="1:24" hidden="1" x14ac:dyDescent="0.2">
      <c r="A114" s="661">
        <v>62.345608936097115</v>
      </c>
      <c r="B114" s="631">
        <v>7.7</v>
      </c>
      <c r="C114" s="662">
        <f t="shared" ref="C114" si="482">(C117-C107)/10*7+C107</f>
        <v>82.567441354143227</v>
      </c>
      <c r="D114" s="634">
        <v>7.7</v>
      </c>
      <c r="E114" s="661">
        <f t="shared" ref="E114" si="483">(E117-E107)/10*7+E107</f>
        <v>115.80379603146223</v>
      </c>
      <c r="F114" s="631">
        <v>7.7</v>
      </c>
      <c r="G114" s="662">
        <f t="shared" ref="G114" si="484">(G117-G107)/10*7+G107</f>
        <v>195.90851400076895</v>
      </c>
      <c r="H114" s="634">
        <v>7.7</v>
      </c>
      <c r="I114" s="661">
        <f t="shared" ref="I114" si="485">(I117-I107)/10*7+I107</f>
        <v>258.8785416132348</v>
      </c>
      <c r="J114" s="631">
        <v>7.7</v>
      </c>
      <c r="K114" s="662">
        <f t="shared" ref="K114" si="486">(K117-K107)/10*7+K107</f>
        <v>352.73054888951617</v>
      </c>
      <c r="L114" s="634">
        <v>7.7</v>
      </c>
      <c r="M114" s="661">
        <f t="shared" ref="M114" si="487">(M117-M107)/10*7+M107</f>
        <v>484.23242605407671</v>
      </c>
      <c r="N114" s="631">
        <v>7.7</v>
      </c>
      <c r="O114" s="662">
        <f t="shared" ref="O114" si="488">(O117-O107)/10*7+O107</f>
        <v>619.64878262044851</v>
      </c>
      <c r="P114" s="634">
        <v>7.7</v>
      </c>
      <c r="Q114" s="661">
        <f>(Q117-Q107)/10*7+Q107</f>
        <v>928.66776058851281</v>
      </c>
      <c r="R114" s="631">
        <v>7.7</v>
      </c>
      <c r="S114" s="662">
        <f>(S117-S107)/10*7+S107</f>
        <v>1054.786488173567</v>
      </c>
      <c r="T114" s="634">
        <v>7.7</v>
      </c>
      <c r="U114" s="661">
        <f>(U117-U107)/10*7+U107</f>
        <v>1237.597176419132</v>
      </c>
      <c r="V114" s="631">
        <v>7.7</v>
      </c>
      <c r="W114" s="662">
        <f>(W117-W107)/10*7+W107</f>
        <v>1576.9743814347034</v>
      </c>
      <c r="X114" s="634">
        <v>7.7</v>
      </c>
    </row>
    <row r="115" spans="1:24" hidden="1" x14ac:dyDescent="0.2">
      <c r="A115" s="661">
        <v>62.935038435523801</v>
      </c>
      <c r="B115" s="631">
        <v>7.8</v>
      </c>
      <c r="C115" s="662">
        <f t="shared" ref="C115" si="489">(C117-C107)/10*8+C107</f>
        <v>83.514325967023922</v>
      </c>
      <c r="D115" s="634">
        <v>7.8</v>
      </c>
      <c r="E115" s="661">
        <f t="shared" ref="E115" si="490">(E117-E107)/10*8+E107</f>
        <v>116.9605824737971</v>
      </c>
      <c r="F115" s="631">
        <v>7.8</v>
      </c>
      <c r="G115" s="662">
        <f t="shared" ref="G115" si="491">(G117-G107)/10*8+G107</f>
        <v>198.10720108118721</v>
      </c>
      <c r="H115" s="634">
        <v>7.8</v>
      </c>
      <c r="I115" s="661">
        <f t="shared" ref="I115" si="492">(I117-I107)/10*8+I107</f>
        <v>260.29455132738883</v>
      </c>
      <c r="J115" s="631">
        <v>7.8</v>
      </c>
      <c r="K115" s="662">
        <f t="shared" ref="K115" si="493">(K117-K107)/10*8+K107</f>
        <v>356.67302489332087</v>
      </c>
      <c r="L115" s="634">
        <v>7.8</v>
      </c>
      <c r="M115" s="661">
        <f t="shared" ref="M115" si="494">(M117-M107)/10*8+M107</f>
        <v>487.24148412218625</v>
      </c>
      <c r="N115" s="631">
        <v>7.8</v>
      </c>
      <c r="O115" s="662">
        <f t="shared" ref="O115" si="495">(O117-O107)/10*8+O107</f>
        <v>626.47500480059716</v>
      </c>
      <c r="P115" s="634">
        <v>7.8</v>
      </c>
      <c r="Q115" s="661">
        <f>(Q117-Q107)/10*8+Q107</f>
        <v>937.08270225599551</v>
      </c>
      <c r="R115" s="631">
        <v>7.8</v>
      </c>
      <c r="S115" s="662">
        <f>(S117-S107)/10*8+S107</f>
        <v>1063.1273631387223</v>
      </c>
      <c r="T115" s="634">
        <v>7.8</v>
      </c>
      <c r="U115" s="661">
        <f>(U117-U107)/10*8+U107</f>
        <v>1251.2797340504044</v>
      </c>
      <c r="V115" s="631">
        <v>7.8</v>
      </c>
      <c r="W115" s="662">
        <f>(W117-W107)/10*8+W107</f>
        <v>1587.6712057786594</v>
      </c>
      <c r="X115" s="634">
        <v>7.8</v>
      </c>
    </row>
    <row r="116" spans="1:24" hidden="1" x14ac:dyDescent="0.2">
      <c r="A116" s="661">
        <v>63.524467934950479</v>
      </c>
      <c r="B116" s="631">
        <v>7.9</v>
      </c>
      <c r="C116" s="662">
        <f t="shared" ref="C116" si="496">(C117-C107)/10*9+C107</f>
        <v>84.461210579904602</v>
      </c>
      <c r="D116" s="634">
        <v>7.9</v>
      </c>
      <c r="E116" s="661">
        <f t="shared" ref="E116" si="497">(E117-E107)/10*9+E107</f>
        <v>118.11736891613199</v>
      </c>
      <c r="F116" s="631">
        <v>7.9</v>
      </c>
      <c r="G116" s="662">
        <f t="shared" ref="G116" si="498">(G117-G107)/10*9+G107</f>
        <v>200.30588816160548</v>
      </c>
      <c r="H116" s="634">
        <v>7.9</v>
      </c>
      <c r="I116" s="661">
        <f t="shared" ref="I116" si="499">(I117-I107)/10*9+I107</f>
        <v>261.71056104154292</v>
      </c>
      <c r="J116" s="631">
        <v>7.9</v>
      </c>
      <c r="K116" s="662">
        <f t="shared" ref="K116" si="500">(K117-K107)/10*9+K107</f>
        <v>360.61550089712551</v>
      </c>
      <c r="L116" s="634">
        <v>7.9</v>
      </c>
      <c r="M116" s="661">
        <f t="shared" ref="M116" si="501">(M117-M107)/10*9+M107</f>
        <v>490.25054219029573</v>
      </c>
      <c r="N116" s="631">
        <v>7.9</v>
      </c>
      <c r="O116" s="662">
        <f t="shared" ref="O116" si="502">(O117-O107)/10*9+O107</f>
        <v>633.30122698074581</v>
      </c>
      <c r="P116" s="634">
        <v>7.9</v>
      </c>
      <c r="Q116" s="661">
        <f>(Q117-Q107)/10*9+Q107</f>
        <v>945.49764392347834</v>
      </c>
      <c r="R116" s="631">
        <v>7.9</v>
      </c>
      <c r="S116" s="662">
        <f>(S117-S107)/10*9+S107</f>
        <v>1071.4682381038776</v>
      </c>
      <c r="T116" s="634">
        <v>7.9</v>
      </c>
      <c r="U116" s="661">
        <f>(U117-U107)/10*9+U107</f>
        <v>1264.9622916816768</v>
      </c>
      <c r="V116" s="631">
        <v>7.9</v>
      </c>
      <c r="W116" s="662">
        <f>(W117-W107)/10*9+W107</f>
        <v>1598.3680301226152</v>
      </c>
      <c r="X116" s="634">
        <v>7.9</v>
      </c>
    </row>
    <row r="117" spans="1:24" hidden="1" x14ac:dyDescent="0.2">
      <c r="A117" s="661">
        <v>64.113897434377165</v>
      </c>
      <c r="B117" s="631">
        <v>8</v>
      </c>
      <c r="C117" s="662">
        <v>85.408095192785296</v>
      </c>
      <c r="D117" s="634">
        <v>8</v>
      </c>
      <c r="E117" s="661">
        <v>119.27415535846687</v>
      </c>
      <c r="F117" s="631">
        <v>8</v>
      </c>
      <c r="G117" s="662">
        <v>202.50457524202375</v>
      </c>
      <c r="H117" s="634">
        <v>8</v>
      </c>
      <c r="I117" s="661">
        <v>263.12657075569695</v>
      </c>
      <c r="J117" s="631">
        <v>8</v>
      </c>
      <c r="K117" s="662">
        <v>364.55797690093016</v>
      </c>
      <c r="L117" s="634">
        <v>8</v>
      </c>
      <c r="M117" s="661">
        <v>493.25960025840527</v>
      </c>
      <c r="N117" s="631">
        <v>8</v>
      </c>
      <c r="O117" s="662">
        <v>640.12744916089446</v>
      </c>
      <c r="P117" s="634">
        <v>8</v>
      </c>
      <c r="Q117" s="661">
        <v>953.91258559096116</v>
      </c>
      <c r="R117" s="631">
        <v>8</v>
      </c>
      <c r="S117" s="662">
        <v>1079.8091130690329</v>
      </c>
      <c r="T117" s="634">
        <v>8</v>
      </c>
      <c r="U117" s="661">
        <v>1278.6448493129492</v>
      </c>
      <c r="V117" s="631">
        <v>8</v>
      </c>
      <c r="W117" s="662">
        <v>1609.0648544665712</v>
      </c>
      <c r="X117" s="634">
        <v>8</v>
      </c>
    </row>
    <row r="118" spans="1:24" hidden="1" x14ac:dyDescent="0.2">
      <c r="K118" s="662">
        <f t="shared" ref="K118" si="503">(K127-K117)/10*1+K117</f>
        <v>368.57171290732475</v>
      </c>
      <c r="L118" s="634">
        <v>8.1</v>
      </c>
      <c r="M118" s="661">
        <f t="shared" ref="M118" si="504">(M127-M117)/10*1+M117</f>
        <v>497.04640091187844</v>
      </c>
      <c r="N118" s="631">
        <v>8.1</v>
      </c>
      <c r="O118" s="662">
        <f t="shared" ref="O118" si="505">(O127-O117)/10*1+O117</f>
        <v>646.67952230956814</v>
      </c>
      <c r="P118" s="634">
        <v>8.1</v>
      </c>
      <c r="Q118" s="661">
        <f>(Q127-Q117)/10*1+Q117</f>
        <v>959.0790576994375</v>
      </c>
      <c r="R118" s="631">
        <v>8.1</v>
      </c>
      <c r="S118" s="662">
        <f>(S127-S117)/10*1+S117</f>
        <v>1083.8874084598876</v>
      </c>
      <c r="T118" s="634">
        <v>8.1</v>
      </c>
      <c r="U118" s="661">
        <f>(U127-U117)/10*1+U117</f>
        <v>1284.3629323427117</v>
      </c>
      <c r="V118" s="631">
        <v>8.1</v>
      </c>
      <c r="W118" s="662">
        <f>(W127-W117)/10*1+W117</f>
        <v>1618.276460840887</v>
      </c>
      <c r="X118" s="634">
        <v>8.1</v>
      </c>
    </row>
    <row r="119" spans="1:24" hidden="1" x14ac:dyDescent="0.2">
      <c r="K119" s="662">
        <f t="shared" ref="K119" si="506">(K127-K117)/10*2+K117</f>
        <v>372.5854489137194</v>
      </c>
      <c r="L119" s="634">
        <v>8.1999999999999993</v>
      </c>
      <c r="M119" s="661">
        <f t="shared" ref="M119" si="507">(M127-M117)/10*2+M117</f>
        <v>500.83320156535154</v>
      </c>
      <c r="N119" s="631">
        <v>8.1999999999999993</v>
      </c>
      <c r="O119" s="662">
        <f t="shared" ref="O119" si="508">(O127-O117)/10*2+O117</f>
        <v>653.23159545824183</v>
      </c>
      <c r="P119" s="634">
        <v>8.1999999999999993</v>
      </c>
      <c r="Q119" s="661">
        <f>(Q127-Q117)/10*2+Q117</f>
        <v>964.24552980791384</v>
      </c>
      <c r="R119" s="631">
        <v>8.1999999999999993</v>
      </c>
      <c r="S119" s="662">
        <f>(S127-S117)/10*2+S117</f>
        <v>1087.9657038507423</v>
      </c>
      <c r="T119" s="634">
        <v>8.1999999999999993</v>
      </c>
      <c r="U119" s="661">
        <f>(U127-U117)/10*2+U117</f>
        <v>1290.0810153724744</v>
      </c>
      <c r="V119" s="631">
        <v>8.1999999999999993</v>
      </c>
      <c r="W119" s="662">
        <f>(W127-W117)/10*2+W117</f>
        <v>1627.4880672152026</v>
      </c>
      <c r="X119" s="634">
        <v>8.1999999999999993</v>
      </c>
    </row>
    <row r="120" spans="1:24" hidden="1" x14ac:dyDescent="0.2">
      <c r="K120" s="662">
        <f t="shared" ref="K120" si="509">(K127-K117)/10*3+K117</f>
        <v>376.599184920114</v>
      </c>
      <c r="L120" s="634">
        <v>8.3000000000000007</v>
      </c>
      <c r="M120" s="661">
        <f t="shared" ref="M120" si="510">(M127-M117)/10*3+M117</f>
        <v>504.62000221882471</v>
      </c>
      <c r="N120" s="631">
        <v>8.3000000000000007</v>
      </c>
      <c r="O120" s="662">
        <f t="shared" ref="O120" si="511">(O127-O117)/10*3+O117</f>
        <v>659.7836686069154</v>
      </c>
      <c r="P120" s="634">
        <v>8.3000000000000007</v>
      </c>
      <c r="Q120" s="661">
        <f>(Q127-Q117)/10*3+Q117</f>
        <v>969.41200191639007</v>
      </c>
      <c r="R120" s="631">
        <v>8.3000000000000007</v>
      </c>
      <c r="S120" s="662">
        <f>(S127-S117)/10*3+S117</f>
        <v>1092.043999241597</v>
      </c>
      <c r="T120" s="634">
        <v>8.3000000000000007</v>
      </c>
      <c r="U120" s="661">
        <f>(U127-U117)/10*3+U117</f>
        <v>1295.799098402237</v>
      </c>
      <c r="V120" s="631">
        <v>8.3000000000000007</v>
      </c>
      <c r="W120" s="662">
        <f>(W127-W117)/10*3+W117</f>
        <v>1636.6996735895184</v>
      </c>
      <c r="X120" s="634">
        <v>8.3000000000000007</v>
      </c>
    </row>
    <row r="121" spans="1:24" hidden="1" x14ac:dyDescent="0.2">
      <c r="K121" s="662">
        <f t="shared" ref="K121" si="512">(K127-K117)/10*4+K117</f>
        <v>380.61292092650865</v>
      </c>
      <c r="L121" s="634">
        <v>8.4</v>
      </c>
      <c r="M121" s="661">
        <f t="shared" ref="M121" si="513">(M127-M117)/10*4+M117</f>
        <v>508.40680287229782</v>
      </c>
      <c r="N121" s="631">
        <v>8.4</v>
      </c>
      <c r="O121" s="662">
        <f t="shared" ref="O121" si="514">(O127-O117)/10*4+O117</f>
        <v>666.33574175558908</v>
      </c>
      <c r="P121" s="634">
        <v>8.4</v>
      </c>
      <c r="Q121" s="661">
        <f>(Q127-Q117)/10*4+Q117</f>
        <v>974.57847402486641</v>
      </c>
      <c r="R121" s="631">
        <v>8.4</v>
      </c>
      <c r="S121" s="662">
        <f>(S127-S117)/10*4+S117</f>
        <v>1096.1222946324517</v>
      </c>
      <c r="T121" s="634">
        <v>8.4</v>
      </c>
      <c r="U121" s="661">
        <f>(U127-U117)/10*4+U117</f>
        <v>1301.5171814319997</v>
      </c>
      <c r="V121" s="631">
        <v>8.4</v>
      </c>
      <c r="W121" s="662">
        <f>(W127-W117)/10*4+W117</f>
        <v>1645.911279963834</v>
      </c>
      <c r="X121" s="634">
        <v>8.4</v>
      </c>
    </row>
    <row r="122" spans="1:24" hidden="1" x14ac:dyDescent="0.2">
      <c r="K122" s="662">
        <f t="shared" ref="K122" si="515">(K127-K117)/10*5+K117</f>
        <v>384.62665693290324</v>
      </c>
      <c r="L122" s="634">
        <v>8.5</v>
      </c>
      <c r="M122" s="661">
        <f t="shared" ref="M122" si="516">(M127-M117)/10*5+M117</f>
        <v>512.19360352577098</v>
      </c>
      <c r="N122" s="631">
        <v>8.5</v>
      </c>
      <c r="O122" s="662">
        <f t="shared" ref="O122" si="517">(O127-O117)/10*5+O117</f>
        <v>672.88781490426277</v>
      </c>
      <c r="P122" s="634">
        <v>8.5</v>
      </c>
      <c r="Q122" s="661">
        <f>(Q127-Q117)/10*5+Q117</f>
        <v>979.74494613334275</v>
      </c>
      <c r="R122" s="631">
        <v>8.5</v>
      </c>
      <c r="S122" s="662">
        <f>(S127-S117)/10*5+S117</f>
        <v>1100.2005900233066</v>
      </c>
      <c r="T122" s="634">
        <v>8.5</v>
      </c>
      <c r="U122" s="661">
        <f>(U127-U117)/10*5+U117</f>
        <v>1307.2352644617622</v>
      </c>
      <c r="V122" s="631">
        <v>8.5</v>
      </c>
      <c r="W122" s="662">
        <f>(W127-W117)/10*5+W117</f>
        <v>1655.1228863381498</v>
      </c>
      <c r="X122" s="634">
        <v>8.5</v>
      </c>
    </row>
    <row r="123" spans="1:24" hidden="1" x14ac:dyDescent="0.2">
      <c r="K123" s="662">
        <f t="shared" ref="K123" si="518">(K127-K117)/10*6+K117</f>
        <v>388.64039293929784</v>
      </c>
      <c r="L123" s="634">
        <v>8.6</v>
      </c>
      <c r="M123" s="661">
        <f t="shared" ref="M123" si="519">(M127-M117)/10*6+M117</f>
        <v>515.98040417924415</v>
      </c>
      <c r="N123" s="631">
        <v>8.6</v>
      </c>
      <c r="O123" s="662">
        <f t="shared" ref="O123" si="520">(O127-O117)/10*6+O117</f>
        <v>679.43988805293645</v>
      </c>
      <c r="P123" s="634">
        <v>8.6</v>
      </c>
      <c r="Q123" s="661">
        <f>(Q127-Q117)/10*6+Q117</f>
        <v>984.91141824181909</v>
      </c>
      <c r="R123" s="631">
        <v>8.6</v>
      </c>
      <c r="S123" s="662">
        <f>(S127-S117)/10*6+S117</f>
        <v>1104.2788854141613</v>
      </c>
      <c r="T123" s="634">
        <v>8.6</v>
      </c>
      <c r="U123" s="661">
        <f>(U127-U117)/10*6+U117</f>
        <v>1312.9533474915247</v>
      </c>
      <c r="V123" s="631">
        <v>8.6</v>
      </c>
      <c r="W123" s="662">
        <f>(W127-W117)/10*6+W117</f>
        <v>1664.3344927124656</v>
      </c>
      <c r="X123" s="634">
        <v>8.6</v>
      </c>
    </row>
    <row r="124" spans="1:24" hidden="1" x14ac:dyDescent="0.2">
      <c r="K124" s="662">
        <f t="shared" ref="K124" si="521">(K127-K117)/10*7+K117</f>
        <v>392.65412894569249</v>
      </c>
      <c r="L124" s="634">
        <v>8.6999999999999993</v>
      </c>
      <c r="M124" s="661">
        <f t="shared" ref="M124" si="522">(M127-M117)/10*7+M117</f>
        <v>519.76720483271731</v>
      </c>
      <c r="N124" s="631">
        <v>8.6999999999999993</v>
      </c>
      <c r="O124" s="662">
        <f t="shared" ref="O124" si="523">(O127-O117)/10*7+O117</f>
        <v>685.99196120161014</v>
      </c>
      <c r="P124" s="634">
        <v>8.6999999999999993</v>
      </c>
      <c r="Q124" s="661">
        <f>(Q127-Q117)/10*7+Q117</f>
        <v>990.07789035029543</v>
      </c>
      <c r="R124" s="631">
        <v>8.6999999999999993</v>
      </c>
      <c r="S124" s="662">
        <f>(S127-S117)/10*7+S117</f>
        <v>1108.357180805016</v>
      </c>
      <c r="T124" s="634">
        <v>8.6999999999999993</v>
      </c>
      <c r="U124" s="661">
        <f>(U127-U117)/10*7+U117</f>
        <v>1318.6714305212874</v>
      </c>
      <c r="V124" s="631">
        <v>8.6999999999999993</v>
      </c>
      <c r="W124" s="662">
        <f>(W127-W117)/10*7+W117</f>
        <v>1673.5460990867812</v>
      </c>
      <c r="X124" s="634">
        <v>8.6999999999999993</v>
      </c>
    </row>
    <row r="125" spans="1:24" hidden="1" x14ac:dyDescent="0.2">
      <c r="K125" s="662">
        <f t="shared" ref="K125" si="524">(K127-K117)/10*8+K117</f>
        <v>396.66786495208709</v>
      </c>
      <c r="L125" s="634">
        <v>8.8000000000000007</v>
      </c>
      <c r="M125" s="661">
        <f t="shared" ref="M125" si="525">(M127-M117)/10*8+M117</f>
        <v>523.55400548619036</v>
      </c>
      <c r="N125" s="631">
        <v>8.8000000000000007</v>
      </c>
      <c r="O125" s="662">
        <f t="shared" ref="O125" si="526">(O127-O117)/10*8+O117</f>
        <v>692.54403435028371</v>
      </c>
      <c r="P125" s="634">
        <v>8.8000000000000007</v>
      </c>
      <c r="Q125" s="661">
        <f>(Q127-Q117)/10*8+Q117</f>
        <v>995.24436245877166</v>
      </c>
      <c r="R125" s="631">
        <v>8.8000000000000007</v>
      </c>
      <c r="S125" s="662">
        <f>(S127-S117)/10*8+S117</f>
        <v>1112.4354761958707</v>
      </c>
      <c r="T125" s="634">
        <v>8.8000000000000007</v>
      </c>
      <c r="U125" s="661">
        <f>(U127-U117)/10*8+U117</f>
        <v>1324.38951355105</v>
      </c>
      <c r="V125" s="631">
        <v>8.8000000000000007</v>
      </c>
      <c r="W125" s="662">
        <f>(W127-W117)/10*8+W117</f>
        <v>1682.757705461097</v>
      </c>
      <c r="X125" s="634">
        <v>8.8000000000000007</v>
      </c>
    </row>
    <row r="126" spans="1:24" hidden="1" x14ac:dyDescent="0.2">
      <c r="K126" s="662">
        <f t="shared" ref="K126" si="527">(K127-K117)/10*9+K117</f>
        <v>400.68160095848174</v>
      </c>
      <c r="L126" s="634">
        <v>8.9</v>
      </c>
      <c r="M126" s="661">
        <f t="shared" ref="M126" si="528">(M127-M117)/10*9+M117</f>
        <v>527.34080613966353</v>
      </c>
      <c r="N126" s="631">
        <v>8.9</v>
      </c>
      <c r="O126" s="662">
        <f t="shared" ref="O126" si="529">(O127-O117)/10*9+O117</f>
        <v>699.09610749895739</v>
      </c>
      <c r="P126" s="634">
        <v>8.9</v>
      </c>
      <c r="Q126" s="661">
        <f>(Q127-Q117)/10*9+Q117</f>
        <v>1000.410834567248</v>
      </c>
      <c r="R126" s="631">
        <v>8.9</v>
      </c>
      <c r="S126" s="662">
        <f>(S127-S117)/10*9+S117</f>
        <v>1116.5137715867254</v>
      </c>
      <c r="T126" s="634">
        <v>8.9</v>
      </c>
      <c r="U126" s="661">
        <f>(U127-U117)/10*9+U117</f>
        <v>1330.1075965808127</v>
      </c>
      <c r="V126" s="631">
        <v>8.9</v>
      </c>
      <c r="W126" s="662">
        <f>(W127-W117)/10*9+W117</f>
        <v>1691.9693118354126</v>
      </c>
      <c r="X126" s="634">
        <v>8.9</v>
      </c>
    </row>
    <row r="127" spans="1:24" hidden="1" x14ac:dyDescent="0.2">
      <c r="K127" s="662">
        <v>404.69533696487633</v>
      </c>
      <c r="L127" s="634">
        <v>9</v>
      </c>
      <c r="M127" s="661">
        <v>531.12760679313669</v>
      </c>
      <c r="N127" s="631">
        <v>9</v>
      </c>
      <c r="O127" s="662">
        <v>705.64818064763108</v>
      </c>
      <c r="P127" s="634">
        <v>9</v>
      </c>
      <c r="Q127" s="661">
        <v>1005.5773066757243</v>
      </c>
      <c r="R127" s="631">
        <v>9</v>
      </c>
      <c r="S127" s="662">
        <v>1120.5920669775801</v>
      </c>
      <c r="T127" s="634">
        <v>9</v>
      </c>
      <c r="U127" s="661">
        <v>1335.8256796105752</v>
      </c>
      <c r="V127" s="631">
        <v>9</v>
      </c>
      <c r="W127" s="662">
        <v>1701.1809182097284</v>
      </c>
      <c r="X127" s="634">
        <v>9</v>
      </c>
    </row>
    <row r="128" spans="1:24" hidden="1" x14ac:dyDescent="0.2">
      <c r="K128" s="662">
        <f t="shared" ref="K128" si="530">(K137-K127)/10*1+K127</f>
        <v>409.18414939680719</v>
      </c>
      <c r="L128" s="634">
        <v>9.1</v>
      </c>
      <c r="M128" s="661">
        <f t="shared" ref="M128" si="531">(M137-M127)/10*1+M127</f>
        <v>536.31350179778872</v>
      </c>
      <c r="N128" s="631">
        <v>9.1</v>
      </c>
      <c r="O128" s="662">
        <f t="shared" ref="O128" si="532">(O137-O127)/10*1+O127</f>
        <v>710.02859686833062</v>
      </c>
      <c r="P128" s="634">
        <v>9.1</v>
      </c>
      <c r="Q128" s="661">
        <f>(Q137-Q127)/10*1+Q127</f>
        <v>1007.8487606367211</v>
      </c>
      <c r="R128" s="631">
        <v>9.1</v>
      </c>
      <c r="S128" s="662">
        <f>(S137-S127)/10*1+S127</f>
        <v>1122.9187713785707</v>
      </c>
      <c r="T128" s="634">
        <v>9.1</v>
      </c>
      <c r="U128" s="661">
        <f>(U137-U127)/10*1+U127</f>
        <v>1346.50200299673</v>
      </c>
      <c r="V128" s="631">
        <v>9.1</v>
      </c>
      <c r="W128" s="662">
        <f>(W137-W127)/10*1+W127</f>
        <v>1706.3701183990861</v>
      </c>
      <c r="X128" s="634">
        <v>9.1</v>
      </c>
    </row>
    <row r="129" spans="11:24" hidden="1" x14ac:dyDescent="0.2">
      <c r="K129" s="662">
        <f t="shared" ref="K129" si="533">(K137-K127)/10*2+K127</f>
        <v>413.67296182873798</v>
      </c>
      <c r="L129" s="634">
        <v>9.1999999999999993</v>
      </c>
      <c r="M129" s="661">
        <f t="shared" ref="M129" si="534">(M137-M127)/10*2+M127</f>
        <v>541.49939680244063</v>
      </c>
      <c r="N129" s="631">
        <v>9.1999999999999993</v>
      </c>
      <c r="O129" s="662">
        <f t="shared" ref="O129" si="535">(O137-O127)/10*2+O127</f>
        <v>714.40901308903017</v>
      </c>
      <c r="P129" s="634">
        <v>9.1999999999999993</v>
      </c>
      <c r="Q129" s="661">
        <f>(Q137-Q127)/10*2+Q127</f>
        <v>1010.1202145977177</v>
      </c>
      <c r="R129" s="631">
        <v>9.1999999999999993</v>
      </c>
      <c r="S129" s="662">
        <f>(S137-S127)/10*2+S127</f>
        <v>1125.2454757795615</v>
      </c>
      <c r="T129" s="634">
        <v>9.1999999999999993</v>
      </c>
      <c r="U129" s="661">
        <f>(U137-U127)/10*2+U127</f>
        <v>1357.1783263828847</v>
      </c>
      <c r="V129" s="631">
        <v>9.1999999999999993</v>
      </c>
      <c r="W129" s="662">
        <f>(W137-W127)/10*2+W127</f>
        <v>1711.5593185884438</v>
      </c>
      <c r="X129" s="634">
        <v>9.1999999999999993</v>
      </c>
    </row>
    <row r="130" spans="11:24" hidden="1" x14ac:dyDescent="0.2">
      <c r="K130" s="662">
        <f t="shared" ref="K130" si="536">(K137-K127)/10*3+K127</f>
        <v>418.16177426066884</v>
      </c>
      <c r="L130" s="634">
        <v>9.3000000000000007</v>
      </c>
      <c r="M130" s="661">
        <f t="shared" ref="M130" si="537">(M137-M127)/10*3+M127</f>
        <v>546.68529180709265</v>
      </c>
      <c r="N130" s="631">
        <v>9.3000000000000007</v>
      </c>
      <c r="O130" s="662">
        <f t="shared" ref="O130" si="538">(O137-O127)/10*3+O127</f>
        <v>718.78942930972971</v>
      </c>
      <c r="P130" s="634">
        <v>9.3000000000000007</v>
      </c>
      <c r="Q130" s="661">
        <f>(Q137-Q127)/10*3+Q127</f>
        <v>1012.3916685587144</v>
      </c>
      <c r="R130" s="631">
        <v>9.3000000000000007</v>
      </c>
      <c r="S130" s="662">
        <f>(S137-S127)/10*3+S127</f>
        <v>1127.5721801805521</v>
      </c>
      <c r="T130" s="634">
        <v>9.3000000000000007</v>
      </c>
      <c r="U130" s="661">
        <f>(U137-U127)/10*3+U127</f>
        <v>1367.8546497690395</v>
      </c>
      <c r="V130" s="631">
        <v>9.3000000000000007</v>
      </c>
      <c r="W130" s="662">
        <f>(W137-W127)/10*3+W127</f>
        <v>1716.7485187778016</v>
      </c>
      <c r="X130" s="634">
        <v>9.3000000000000007</v>
      </c>
    </row>
    <row r="131" spans="11:24" hidden="1" x14ac:dyDescent="0.2">
      <c r="K131" s="662">
        <f t="shared" ref="K131" si="539">(K137-K127)/10*4+K127</f>
        <v>422.65058669259963</v>
      </c>
      <c r="L131" s="634">
        <v>9.4</v>
      </c>
      <c r="M131" s="661">
        <f t="shared" ref="M131" si="540">(M137-M127)/10*4+M127</f>
        <v>551.87118681174468</v>
      </c>
      <c r="N131" s="631">
        <v>9.4</v>
      </c>
      <c r="O131" s="662">
        <f t="shared" ref="O131" si="541">(O137-O127)/10*4+O127</f>
        <v>723.16984553042926</v>
      </c>
      <c r="P131" s="634">
        <v>9.4</v>
      </c>
      <c r="Q131" s="661">
        <f>(Q137-Q127)/10*4+Q127</f>
        <v>1014.6631225197111</v>
      </c>
      <c r="R131" s="631">
        <v>9.4</v>
      </c>
      <c r="S131" s="662">
        <f>(S137-S127)/10*4+S127</f>
        <v>1129.8988845815429</v>
      </c>
      <c r="T131" s="634">
        <v>9.4</v>
      </c>
      <c r="U131" s="661">
        <f>(U137-U127)/10*4+U127</f>
        <v>1378.5309731551943</v>
      </c>
      <c r="V131" s="631">
        <v>9.4</v>
      </c>
      <c r="W131" s="662">
        <f>(W137-W127)/10*4+W127</f>
        <v>1721.9377189671593</v>
      </c>
      <c r="X131" s="634">
        <v>9.4</v>
      </c>
    </row>
    <row r="132" spans="11:24" hidden="1" x14ac:dyDescent="0.2">
      <c r="K132" s="662">
        <f t="shared" ref="K132" si="542">(K137-K127)/10*5+K127</f>
        <v>427.13939912453048</v>
      </c>
      <c r="L132" s="634">
        <v>9.5</v>
      </c>
      <c r="M132" s="661">
        <f t="shared" ref="M132" si="543">(M137-M127)/10*5+M127</f>
        <v>557.0570818163967</v>
      </c>
      <c r="N132" s="631">
        <v>9.5</v>
      </c>
      <c r="O132" s="662">
        <f t="shared" ref="O132" si="544">(O137-O127)/10*5+O127</f>
        <v>727.5502617511288</v>
      </c>
      <c r="P132" s="634">
        <v>9.5</v>
      </c>
      <c r="Q132" s="661">
        <f>(Q137-Q127)/10*5+Q127</f>
        <v>1016.9345764807078</v>
      </c>
      <c r="R132" s="631">
        <v>9.5</v>
      </c>
      <c r="S132" s="662">
        <f>(S137-S127)/10*5+S127</f>
        <v>1132.2255889825335</v>
      </c>
      <c r="T132" s="634">
        <v>9.5</v>
      </c>
      <c r="U132" s="661">
        <f>(U137-U127)/10*5+U127</f>
        <v>1389.207296541349</v>
      </c>
      <c r="V132" s="631">
        <v>9.5</v>
      </c>
      <c r="W132" s="662">
        <f>(W137-W127)/10*5+W127</f>
        <v>1727.126919156517</v>
      </c>
      <c r="X132" s="634">
        <v>9.5</v>
      </c>
    </row>
    <row r="133" spans="11:24" hidden="1" x14ac:dyDescent="0.2">
      <c r="K133" s="662">
        <f t="shared" ref="K133" si="545">(K137-K127)/10*6+K127</f>
        <v>431.62821155646134</v>
      </c>
      <c r="L133" s="634">
        <v>9.6</v>
      </c>
      <c r="M133" s="661">
        <f t="shared" ref="M133" si="546">(M137-M127)/10*6+M127</f>
        <v>562.24297682104861</v>
      </c>
      <c r="N133" s="631">
        <v>9.6</v>
      </c>
      <c r="O133" s="662">
        <f t="shared" ref="O133" si="547">(O137-O127)/10*6+O127</f>
        <v>731.93067797182835</v>
      </c>
      <c r="P133" s="634">
        <v>9.6</v>
      </c>
      <c r="Q133" s="661">
        <f>(Q137-Q127)/10*6+Q127</f>
        <v>1019.2060304417045</v>
      </c>
      <c r="R133" s="631">
        <v>9.6</v>
      </c>
      <c r="S133" s="662">
        <f>(S137-S127)/10*6+S127</f>
        <v>1134.5522933835241</v>
      </c>
      <c r="T133" s="634">
        <v>9.6</v>
      </c>
      <c r="U133" s="661">
        <f>(U137-U127)/10*6+U127</f>
        <v>1399.883619927504</v>
      </c>
      <c r="V133" s="631">
        <v>9.6</v>
      </c>
      <c r="W133" s="662">
        <f>(W137-W127)/10*6+W127</f>
        <v>1732.3161193458745</v>
      </c>
      <c r="X133" s="634">
        <v>9.6</v>
      </c>
    </row>
    <row r="134" spans="11:24" hidden="1" x14ac:dyDescent="0.2">
      <c r="K134" s="662">
        <f t="shared" ref="K134" si="548">(K137-K127)/10*7+K127</f>
        <v>436.11702398839213</v>
      </c>
      <c r="L134" s="634">
        <v>9.6999999999999993</v>
      </c>
      <c r="M134" s="661">
        <f t="shared" ref="M134" si="549">(M137-M127)/10*7+M127</f>
        <v>567.42887182570064</v>
      </c>
      <c r="N134" s="631">
        <v>9.6999999999999993</v>
      </c>
      <c r="O134" s="662">
        <f t="shared" ref="O134" si="550">(O137-O127)/10*7+O127</f>
        <v>736.31109419252789</v>
      </c>
      <c r="P134" s="634">
        <v>9.6999999999999993</v>
      </c>
      <c r="Q134" s="661">
        <f>(Q137-Q127)/10*7+Q127</f>
        <v>1021.4774844027012</v>
      </c>
      <c r="R134" s="631">
        <v>9.6999999999999993</v>
      </c>
      <c r="S134" s="662">
        <f>(S137-S127)/10*7+S127</f>
        <v>1136.8789977845149</v>
      </c>
      <c r="T134" s="634">
        <v>9.6999999999999993</v>
      </c>
      <c r="U134" s="661">
        <f>(U137-U127)/10*7+U127</f>
        <v>1410.5599433136588</v>
      </c>
      <c r="V134" s="631">
        <v>9.6999999999999993</v>
      </c>
      <c r="W134" s="662">
        <f>(W137-W127)/10*7+W127</f>
        <v>1737.5053195352323</v>
      </c>
      <c r="X134" s="634">
        <v>9.6999999999999993</v>
      </c>
    </row>
    <row r="135" spans="11:24" hidden="1" x14ac:dyDescent="0.2">
      <c r="K135" s="662">
        <f t="shared" ref="K135" si="551">(K137-K127)/10*8+K127</f>
        <v>440.60583642032299</v>
      </c>
      <c r="L135" s="634">
        <v>9.8000000000000007</v>
      </c>
      <c r="M135" s="661">
        <f t="shared" ref="M135" si="552">(M137-M127)/10*8+M127</f>
        <v>572.61476683035266</v>
      </c>
      <c r="N135" s="631">
        <v>9.8000000000000007</v>
      </c>
      <c r="O135" s="662">
        <f t="shared" ref="O135" si="553">(O137-O127)/10*8+O127</f>
        <v>740.69151041322743</v>
      </c>
      <c r="P135" s="634">
        <v>9.8000000000000007</v>
      </c>
      <c r="Q135" s="661">
        <f>(Q137-Q127)/10*8+Q127</f>
        <v>1023.7489383636979</v>
      </c>
      <c r="R135" s="631">
        <v>9.8000000000000007</v>
      </c>
      <c r="S135" s="662">
        <f>(S137-S127)/10*8+S127</f>
        <v>1139.2057021855055</v>
      </c>
      <c r="T135" s="634">
        <v>9.8000000000000007</v>
      </c>
      <c r="U135" s="661">
        <f>(U137-U127)/10*8+U127</f>
        <v>1421.2362666998135</v>
      </c>
      <c r="V135" s="631">
        <v>9.8000000000000007</v>
      </c>
      <c r="W135" s="662">
        <f>(W137-W127)/10*8+W127</f>
        <v>1742.69451972459</v>
      </c>
      <c r="X135" s="634">
        <v>9.8000000000000007</v>
      </c>
    </row>
    <row r="136" spans="11:24" hidden="1" x14ac:dyDescent="0.2">
      <c r="K136" s="662">
        <f t="shared" ref="K136" si="554">(K137-K127)/10*9+K127</f>
        <v>445.09464885225378</v>
      </c>
      <c r="L136" s="634">
        <v>9.9</v>
      </c>
      <c r="M136" s="661">
        <f t="shared" ref="M136" si="555">(M137-M127)/10*9+M127</f>
        <v>577.80066183500458</v>
      </c>
      <c r="N136" s="631">
        <v>9.9</v>
      </c>
      <c r="O136" s="662">
        <f t="shared" ref="O136" si="556">(O137-O127)/10*9+O127</f>
        <v>745.07192663392698</v>
      </c>
      <c r="P136" s="634">
        <v>9.9</v>
      </c>
      <c r="Q136" s="661">
        <f>(Q137-Q127)/10*9+Q127</f>
        <v>1026.0203923246945</v>
      </c>
      <c r="R136" s="631">
        <v>9.9</v>
      </c>
      <c r="S136" s="662">
        <f>(S137-S127)/10*9+S127</f>
        <v>1141.5324065864963</v>
      </c>
      <c r="T136" s="634">
        <v>9.9</v>
      </c>
      <c r="U136" s="661">
        <f>(U137-U127)/10*9+U127</f>
        <v>1431.9125900859683</v>
      </c>
      <c r="V136" s="631">
        <v>9.9</v>
      </c>
      <c r="W136" s="662">
        <f>(W137-W127)/10*9+W127</f>
        <v>1747.8837199139477</v>
      </c>
      <c r="X136" s="634">
        <v>9.9</v>
      </c>
    </row>
    <row r="137" spans="11:24" hidden="1" x14ac:dyDescent="0.2">
      <c r="K137" s="662">
        <v>449.58346128418464</v>
      </c>
      <c r="L137" s="634">
        <v>10</v>
      </c>
      <c r="M137" s="661">
        <v>582.9865568396566</v>
      </c>
      <c r="N137" s="631">
        <v>10</v>
      </c>
      <c r="O137" s="662">
        <v>749.45234285462652</v>
      </c>
      <c r="P137" s="634">
        <v>10</v>
      </c>
      <c r="Q137" s="661">
        <v>1028.2918462856912</v>
      </c>
      <c r="R137" s="631">
        <v>10</v>
      </c>
      <c r="S137" s="662">
        <v>1143.8591109874869</v>
      </c>
      <c r="T137" s="634">
        <v>10</v>
      </c>
      <c r="U137" s="661">
        <v>1442.5889134721231</v>
      </c>
      <c r="V137" s="631">
        <v>10</v>
      </c>
      <c r="W137" s="662">
        <v>1753.0729201033055</v>
      </c>
      <c r="X137" s="634">
        <v>10</v>
      </c>
    </row>
    <row r="138" spans="11:24" hidden="1" x14ac:dyDescent="0.2">
      <c r="K138" s="662">
        <f t="shared" ref="K138" si="557">(K147-K137)/10*1+K137</f>
        <v>453.24842362380758</v>
      </c>
      <c r="L138" s="634">
        <v>10.1</v>
      </c>
      <c r="M138" s="661">
        <f t="shared" ref="M138" si="558">(M147-M137)/10*1+M137</f>
        <v>587.08723085463055</v>
      </c>
      <c r="N138" s="631">
        <v>10.1</v>
      </c>
      <c r="O138" s="662">
        <f t="shared" ref="O138" si="559">(O147-O137)/10*1+O137</f>
        <v>750.98715914454863</v>
      </c>
      <c r="P138" s="634">
        <v>10.1</v>
      </c>
      <c r="Q138" s="661">
        <f>(Q147-Q137)/10*1+Q137</f>
        <v>1037.7459074407061</v>
      </c>
      <c r="R138" s="631">
        <v>10.1</v>
      </c>
      <c r="S138" s="662">
        <f>(S147-S137)/10*1+S137</f>
        <v>1146.9471460878717</v>
      </c>
      <c r="T138" s="634">
        <v>10.1</v>
      </c>
      <c r="U138" s="661">
        <f>(U147-U137)/10*1+U137</f>
        <v>1454.0801749164707</v>
      </c>
      <c r="V138" s="631">
        <v>10.1</v>
      </c>
      <c r="W138" s="662">
        <f>(W147-W137)/10*1+W137</f>
        <v>1756.6543426347123</v>
      </c>
      <c r="X138" s="634">
        <v>10.1</v>
      </c>
    </row>
    <row r="139" spans="11:24" hidden="1" x14ac:dyDescent="0.2">
      <c r="K139" s="662">
        <f t="shared" ref="K139" si="560">(K147-K137)/10*2+K137</f>
        <v>456.91338596343053</v>
      </c>
      <c r="L139" s="634">
        <v>10.199999999999999</v>
      </c>
      <c r="M139" s="661">
        <f t="shared" ref="M139" si="561">(M147-M137)/10*2+M137</f>
        <v>591.18790486960449</v>
      </c>
      <c r="N139" s="631">
        <v>10.199999999999999</v>
      </c>
      <c r="O139" s="662">
        <f t="shared" ref="O139" si="562">(O147-O137)/10*2+O137</f>
        <v>752.52197543447073</v>
      </c>
      <c r="P139" s="634">
        <v>10.199999999999999</v>
      </c>
      <c r="Q139" s="661">
        <f>(Q147-Q137)/10*2+Q137</f>
        <v>1047.199968595721</v>
      </c>
      <c r="R139" s="631">
        <v>10.199999999999999</v>
      </c>
      <c r="S139" s="662">
        <f>(S147-S137)/10*2+S137</f>
        <v>1150.0351811882567</v>
      </c>
      <c r="T139" s="634">
        <v>10.199999999999999</v>
      </c>
      <c r="U139" s="661">
        <f>(U147-U137)/10*2+U137</f>
        <v>1465.5714363608186</v>
      </c>
      <c r="V139" s="631">
        <v>10.199999999999999</v>
      </c>
      <c r="W139" s="662">
        <f>(W147-W137)/10*2+W137</f>
        <v>1760.2357651661191</v>
      </c>
      <c r="X139" s="634">
        <v>10.199999999999999</v>
      </c>
    </row>
    <row r="140" spans="11:24" hidden="1" x14ac:dyDescent="0.2">
      <c r="K140" s="662">
        <f t="shared" ref="K140" si="563">(K147-K137)/10*3+K137</f>
        <v>460.57834830305342</v>
      </c>
      <c r="L140" s="634">
        <v>10.3</v>
      </c>
      <c r="M140" s="661">
        <f t="shared" ref="M140" si="564">(M147-M137)/10*3+M137</f>
        <v>595.28857888457844</v>
      </c>
      <c r="N140" s="631">
        <v>10.3</v>
      </c>
      <c r="O140" s="662">
        <f t="shared" ref="O140" si="565">(O147-O137)/10*3+O137</f>
        <v>754.05679172439272</v>
      </c>
      <c r="P140" s="634">
        <v>10.3</v>
      </c>
      <c r="Q140" s="661">
        <f>(Q147-Q137)/10*3+Q137</f>
        <v>1056.6540297507361</v>
      </c>
      <c r="R140" s="631">
        <v>10.3</v>
      </c>
      <c r="S140" s="662">
        <f>(S147-S137)/10*3+S137</f>
        <v>1153.1232162886417</v>
      </c>
      <c r="T140" s="634">
        <v>10.3</v>
      </c>
      <c r="U140" s="661">
        <f>(U147-U137)/10*3+U137</f>
        <v>1477.0626978051662</v>
      </c>
      <c r="V140" s="631">
        <v>10.3</v>
      </c>
      <c r="W140" s="662">
        <f>(W147-W137)/10*3+W137</f>
        <v>1763.8171876975259</v>
      </c>
      <c r="X140" s="634">
        <v>10.3</v>
      </c>
    </row>
    <row r="141" spans="11:24" hidden="1" x14ac:dyDescent="0.2">
      <c r="K141" s="662">
        <f t="shared" ref="K141" si="566">(K147-K137)/10*4+K137</f>
        <v>464.24331064267636</v>
      </c>
      <c r="L141" s="634">
        <v>10.4</v>
      </c>
      <c r="M141" s="661">
        <f t="shared" ref="M141" si="567">(M147-M137)/10*4+M137</f>
        <v>599.38925289955239</v>
      </c>
      <c r="N141" s="631">
        <v>10.4</v>
      </c>
      <c r="O141" s="662">
        <f t="shared" ref="O141" si="568">(O147-O137)/10*4+O137</f>
        <v>755.59160801431483</v>
      </c>
      <c r="P141" s="634">
        <v>10.4</v>
      </c>
      <c r="Q141" s="661">
        <f>(Q147-Q137)/10*4+Q137</f>
        <v>1066.1080909057509</v>
      </c>
      <c r="R141" s="631">
        <v>10.4</v>
      </c>
      <c r="S141" s="662">
        <f>(S147-S137)/10*4+S137</f>
        <v>1156.2112513890265</v>
      </c>
      <c r="T141" s="634">
        <v>10.4</v>
      </c>
      <c r="U141" s="661">
        <f>(U147-U137)/10*4+U137</f>
        <v>1488.553959249514</v>
      </c>
      <c r="V141" s="631">
        <v>10.4</v>
      </c>
      <c r="W141" s="662">
        <f>(W147-W137)/10*4+W137</f>
        <v>1767.3986102289327</v>
      </c>
      <c r="X141" s="634">
        <v>10.4</v>
      </c>
    </row>
    <row r="142" spans="11:24" hidden="1" x14ac:dyDescent="0.2">
      <c r="K142" s="662">
        <f t="shared" ref="K142" si="569">(K147-K137)/10*5+K137</f>
        <v>467.90827298229931</v>
      </c>
      <c r="L142" s="634">
        <v>10.5</v>
      </c>
      <c r="M142" s="661">
        <f t="shared" ref="M142" si="570">(M147-M137)/10*5+M137</f>
        <v>603.48992691452634</v>
      </c>
      <c r="N142" s="631">
        <v>10.5</v>
      </c>
      <c r="O142" s="662">
        <f t="shared" ref="O142" si="571">(O147-O137)/10*5+O137</f>
        <v>757.12642430423693</v>
      </c>
      <c r="P142" s="634">
        <v>10.5</v>
      </c>
      <c r="Q142" s="661">
        <f>(Q147-Q137)/10*5+Q137</f>
        <v>1075.5621520607658</v>
      </c>
      <c r="R142" s="631">
        <v>10.5</v>
      </c>
      <c r="S142" s="662">
        <f>(S147-S137)/10*5+S137</f>
        <v>1159.2992864894113</v>
      </c>
      <c r="T142" s="634">
        <v>10.5</v>
      </c>
      <c r="U142" s="661">
        <f>(U147-U137)/10*5+U137</f>
        <v>1500.0452206938617</v>
      </c>
      <c r="V142" s="631">
        <v>10.5</v>
      </c>
      <c r="W142" s="662">
        <f>(W147-W137)/10*5+W137</f>
        <v>1770.9800327603398</v>
      </c>
      <c r="X142" s="634">
        <v>10.5</v>
      </c>
    </row>
    <row r="143" spans="11:24" hidden="1" x14ac:dyDescent="0.2">
      <c r="K143" s="662">
        <f t="shared" ref="K143" si="572">(K147-K137)/10*6+K137</f>
        <v>471.57323532192225</v>
      </c>
      <c r="L143" s="634">
        <v>10.6</v>
      </c>
      <c r="M143" s="661">
        <f t="shared" ref="M143" si="573">(M147-M137)/10*6+M137</f>
        <v>607.59060092950028</v>
      </c>
      <c r="N143" s="631">
        <v>10.6</v>
      </c>
      <c r="O143" s="662">
        <f t="shared" ref="O143" si="574">(O147-O137)/10*6+O137</f>
        <v>758.66124059415904</v>
      </c>
      <c r="P143" s="634">
        <v>10.6</v>
      </c>
      <c r="Q143" s="661">
        <f>(Q147-Q137)/10*6+Q137</f>
        <v>1085.0162132157807</v>
      </c>
      <c r="R143" s="631">
        <v>10.6</v>
      </c>
      <c r="S143" s="662">
        <f>(S147-S137)/10*6+S137</f>
        <v>1162.3873215897963</v>
      </c>
      <c r="T143" s="634">
        <v>10.6</v>
      </c>
      <c r="U143" s="661">
        <f>(U147-U137)/10*6+U137</f>
        <v>1511.5364821382093</v>
      </c>
      <c r="V143" s="631">
        <v>10.6</v>
      </c>
      <c r="W143" s="662">
        <f>(W147-W137)/10*6+W137</f>
        <v>1774.5614552917466</v>
      </c>
      <c r="X143" s="634">
        <v>10.6</v>
      </c>
    </row>
    <row r="144" spans="11:24" hidden="1" x14ac:dyDescent="0.2">
      <c r="K144" s="662">
        <f t="shared" ref="K144" si="575">(K147-K137)/10*7+K137</f>
        <v>475.2381976615452</v>
      </c>
      <c r="L144" s="634">
        <v>10.7</v>
      </c>
      <c r="M144" s="661">
        <f t="shared" ref="M144" si="576">(M147-M137)/10*7+M137</f>
        <v>611.69127494447423</v>
      </c>
      <c r="N144" s="631">
        <v>10.7</v>
      </c>
      <c r="O144" s="662">
        <f t="shared" ref="O144" si="577">(O147-O137)/10*7+O137</f>
        <v>760.19605688408114</v>
      </c>
      <c r="P144" s="634">
        <v>10.7</v>
      </c>
      <c r="Q144" s="661">
        <f>(Q147-Q137)/10*7+Q137</f>
        <v>1094.4702743707956</v>
      </c>
      <c r="R144" s="631">
        <v>10.7</v>
      </c>
      <c r="S144" s="662">
        <f>(S147-S137)/10*7+S137</f>
        <v>1165.4753566901813</v>
      </c>
      <c r="T144" s="634">
        <v>10.7</v>
      </c>
      <c r="U144" s="661">
        <f>(U147-U137)/10*7+U137</f>
        <v>1523.0277435825572</v>
      </c>
      <c r="V144" s="631">
        <v>10.7</v>
      </c>
      <c r="W144" s="662">
        <f>(W147-W137)/10*7+W137</f>
        <v>1778.1428778231534</v>
      </c>
      <c r="X144" s="634">
        <v>10.7</v>
      </c>
    </row>
    <row r="145" spans="11:24" hidden="1" x14ac:dyDescent="0.2">
      <c r="K145" s="662">
        <f t="shared" ref="K145" si="578">(K147-K137)/10*8+K137</f>
        <v>478.90316000116809</v>
      </c>
      <c r="L145" s="634">
        <v>10.8</v>
      </c>
      <c r="M145" s="661">
        <f t="shared" ref="M145" si="579">(M147-M137)/10*8+M137</f>
        <v>615.79194895944818</v>
      </c>
      <c r="N145" s="631">
        <v>10.8</v>
      </c>
      <c r="O145" s="662">
        <f t="shared" ref="O145" si="580">(O147-O137)/10*8+O137</f>
        <v>761.73087317400314</v>
      </c>
      <c r="P145" s="634">
        <v>10.8</v>
      </c>
      <c r="Q145" s="661">
        <f>(Q147-Q137)/10*8+Q137</f>
        <v>1103.9243355258106</v>
      </c>
      <c r="R145" s="631">
        <v>10.8</v>
      </c>
      <c r="S145" s="662">
        <f>(S147-S137)/10*8+S137</f>
        <v>1168.5633917905661</v>
      </c>
      <c r="T145" s="634">
        <v>10.8</v>
      </c>
      <c r="U145" s="661">
        <f>(U147-U137)/10*8+U137</f>
        <v>1534.5190050269048</v>
      </c>
      <c r="V145" s="631">
        <v>10.8</v>
      </c>
      <c r="W145" s="662">
        <f>(W147-W137)/10*8+W137</f>
        <v>1781.7243003545602</v>
      </c>
      <c r="X145" s="634">
        <v>10.8</v>
      </c>
    </row>
    <row r="146" spans="11:24" hidden="1" x14ac:dyDescent="0.2">
      <c r="K146" s="662">
        <f t="shared" ref="K146" si="581">(K147-K137)/10*9+K137</f>
        <v>482.56812234079104</v>
      </c>
      <c r="L146" s="634">
        <v>10.9</v>
      </c>
      <c r="M146" s="661">
        <f t="shared" ref="M146" si="582">(M147-M137)/10*9+M137</f>
        <v>619.89262297442212</v>
      </c>
      <c r="N146" s="631">
        <v>10.9</v>
      </c>
      <c r="O146" s="662">
        <f t="shared" ref="O146" si="583">(O147-O137)/10*9+O137</f>
        <v>763.26568946392524</v>
      </c>
      <c r="P146" s="634">
        <v>10.9</v>
      </c>
      <c r="Q146" s="661">
        <f>(Q147-Q137)/10*9+Q137</f>
        <v>1113.3783966808255</v>
      </c>
      <c r="R146" s="631">
        <v>10.9</v>
      </c>
      <c r="S146" s="662">
        <f>(S147-S137)/10*9+S137</f>
        <v>1171.6514268909509</v>
      </c>
      <c r="T146" s="634">
        <v>10.9</v>
      </c>
      <c r="U146" s="661">
        <f>(U147-U137)/10*9+U137</f>
        <v>1546.0102664712526</v>
      </c>
      <c r="V146" s="631">
        <v>10.9</v>
      </c>
      <c r="W146" s="662">
        <f>(W147-W137)/10*9+W137</f>
        <v>1785.305722885967</v>
      </c>
      <c r="X146" s="634">
        <v>10.9</v>
      </c>
    </row>
    <row r="147" spans="11:24" hidden="1" x14ac:dyDescent="0.2">
      <c r="K147" s="662">
        <v>486.23308468041398</v>
      </c>
      <c r="L147" s="634">
        <v>11</v>
      </c>
      <c r="M147" s="661">
        <v>623.99329698939607</v>
      </c>
      <c r="N147" s="631">
        <v>11</v>
      </c>
      <c r="O147" s="662">
        <v>764.80050575384735</v>
      </c>
      <c r="P147" s="634">
        <v>11</v>
      </c>
      <c r="Q147" s="661">
        <v>1122.8324578358404</v>
      </c>
      <c r="R147" s="631">
        <v>11</v>
      </c>
      <c r="S147" s="662">
        <v>1174.7394619913359</v>
      </c>
      <c r="T147" s="634">
        <v>11</v>
      </c>
      <c r="U147" s="661">
        <v>1557.5015279156003</v>
      </c>
      <c r="V147" s="631">
        <v>11</v>
      </c>
      <c r="W147" s="662">
        <v>1788.8871454173739</v>
      </c>
      <c r="X147" s="634">
        <v>11</v>
      </c>
    </row>
    <row r="148" spans="11:24" hidden="1" x14ac:dyDescent="0.2">
      <c r="K148" s="662">
        <f t="shared" ref="K148" si="584">(K157-K147)/10*1+K147</f>
        <v>488.0484471905192</v>
      </c>
      <c r="L148" s="634">
        <v>11.1</v>
      </c>
      <c r="M148" s="661">
        <f t="shared" ref="M148" si="585">(M157-M147)/10*1+M147</f>
        <v>629.50477285486318</v>
      </c>
      <c r="N148" s="631">
        <v>11.1</v>
      </c>
      <c r="O148" s="662">
        <f t="shared" ref="O148" si="586">(O157-O147)/10*1+O147</f>
        <v>769.35643057116772</v>
      </c>
      <c r="P148" s="634">
        <v>11.1</v>
      </c>
      <c r="Q148" s="661">
        <f>(Q157-Q147)/10*1+Q147</f>
        <v>1136.1468660206056</v>
      </c>
      <c r="R148" s="631">
        <v>11.1</v>
      </c>
      <c r="S148" s="662">
        <f>(S157-S147)/10*1+S147</f>
        <v>1184.2658087100135</v>
      </c>
      <c r="T148" s="634">
        <v>11.1</v>
      </c>
      <c r="U148" s="661">
        <f>(U157-U147)/10*1+U147</f>
        <v>1559.644140778538</v>
      </c>
      <c r="V148" s="631">
        <v>11.1</v>
      </c>
      <c r="W148" s="662">
        <f>(W157-W147)/10*1+W147</f>
        <v>1802.1740904867168</v>
      </c>
      <c r="X148" s="634">
        <v>11.1</v>
      </c>
    </row>
    <row r="149" spans="11:24" hidden="1" x14ac:dyDescent="0.2">
      <c r="K149" s="662">
        <f t="shared" ref="K149" si="587">(K157-K147)/10*2+K147</f>
        <v>489.86380970062442</v>
      </c>
      <c r="L149" s="634">
        <v>11.2</v>
      </c>
      <c r="M149" s="661">
        <f t="shared" ref="M149" si="588">(M157-M147)/10*2+M147</f>
        <v>635.01624872033017</v>
      </c>
      <c r="N149" s="631">
        <v>11.2</v>
      </c>
      <c r="O149" s="662">
        <f t="shared" ref="O149" si="589">(O157-O147)/10*2+O147</f>
        <v>773.91235538848821</v>
      </c>
      <c r="P149" s="634">
        <v>11.2</v>
      </c>
      <c r="Q149" s="661">
        <f>(Q157-Q147)/10*2+Q147</f>
        <v>1149.461274205371</v>
      </c>
      <c r="R149" s="631">
        <v>11.2</v>
      </c>
      <c r="S149" s="662">
        <f>(S157-S147)/10*2+S147</f>
        <v>1193.7921554286913</v>
      </c>
      <c r="T149" s="634">
        <v>11.2</v>
      </c>
      <c r="U149" s="661">
        <f>(U157-U147)/10*2+U147</f>
        <v>1561.7867536414756</v>
      </c>
      <c r="V149" s="631">
        <v>11.2</v>
      </c>
      <c r="W149" s="662">
        <f>(W157-W147)/10*2+W147</f>
        <v>1815.4610355560599</v>
      </c>
      <c r="X149" s="634">
        <v>11.2</v>
      </c>
    </row>
    <row r="150" spans="11:24" hidden="1" x14ac:dyDescent="0.2">
      <c r="K150" s="662">
        <f t="shared" ref="K150" si="590">(K157-K147)/10*3+K147</f>
        <v>491.67917221072963</v>
      </c>
      <c r="L150" s="634">
        <v>11.3</v>
      </c>
      <c r="M150" s="661">
        <f t="shared" ref="M150" si="591">(M157-M147)/10*3+M147</f>
        <v>640.52772458579716</v>
      </c>
      <c r="N150" s="631">
        <v>11.3</v>
      </c>
      <c r="O150" s="662">
        <f t="shared" ref="O150" si="592">(O157-O147)/10*3+O147</f>
        <v>778.46828020580858</v>
      </c>
      <c r="P150" s="634">
        <v>11.3</v>
      </c>
      <c r="Q150" s="661">
        <f>(Q157-Q147)/10*3+Q147</f>
        <v>1162.7756823901364</v>
      </c>
      <c r="R150" s="631">
        <v>11.3</v>
      </c>
      <c r="S150" s="662">
        <f>(S157-S147)/10*3+S147</f>
        <v>1203.3185021473691</v>
      </c>
      <c r="T150" s="634">
        <v>11.3</v>
      </c>
      <c r="U150" s="661">
        <f>(U157-U147)/10*3+U147</f>
        <v>1563.9293665044133</v>
      </c>
      <c r="V150" s="631">
        <v>11.3</v>
      </c>
      <c r="W150" s="662">
        <f>(W157-W147)/10*3+W147</f>
        <v>1828.7479806254028</v>
      </c>
      <c r="X150" s="634">
        <v>11.3</v>
      </c>
    </row>
    <row r="151" spans="11:24" hidden="1" x14ac:dyDescent="0.2">
      <c r="K151" s="662">
        <f t="shared" ref="K151" si="593">(K157-K147)/10*4+K147</f>
        <v>493.49453472083485</v>
      </c>
      <c r="L151" s="634">
        <v>11.4</v>
      </c>
      <c r="M151" s="661">
        <f t="shared" ref="M151" si="594">(M157-M147)/10*4+M147</f>
        <v>646.03920045126426</v>
      </c>
      <c r="N151" s="631">
        <v>11.4</v>
      </c>
      <c r="O151" s="662">
        <f t="shared" ref="O151" si="595">(O157-O147)/10*4+O147</f>
        <v>783.02420502312907</v>
      </c>
      <c r="P151" s="634">
        <v>11.4</v>
      </c>
      <c r="Q151" s="661">
        <f>(Q157-Q147)/10*4+Q147</f>
        <v>1176.0900905749015</v>
      </c>
      <c r="R151" s="631">
        <v>11.4</v>
      </c>
      <c r="S151" s="662">
        <f>(S157-S147)/10*4+S147</f>
        <v>1212.8448488660467</v>
      </c>
      <c r="T151" s="634">
        <v>11.4</v>
      </c>
      <c r="U151" s="661">
        <f>(U157-U147)/10*4+U147</f>
        <v>1566.0719793673509</v>
      </c>
      <c r="V151" s="631">
        <v>11.4</v>
      </c>
      <c r="W151" s="662">
        <f>(W157-W147)/10*4+W147</f>
        <v>1842.0349256947459</v>
      </c>
      <c r="X151" s="634">
        <v>11.4</v>
      </c>
    </row>
    <row r="152" spans="11:24" hidden="1" x14ac:dyDescent="0.2">
      <c r="K152" s="662">
        <f t="shared" ref="K152" si="596">(K157-K147)/10*5+K147</f>
        <v>495.30989723094001</v>
      </c>
      <c r="L152" s="634">
        <v>11.5</v>
      </c>
      <c r="M152" s="661">
        <f t="shared" ref="M152" si="597">(M157-M147)/10*5+M147</f>
        <v>651.55067631673137</v>
      </c>
      <c r="N152" s="631">
        <v>11.5</v>
      </c>
      <c r="O152" s="662">
        <f t="shared" ref="O152" si="598">(O157-O147)/10*5+O147</f>
        <v>787.58012984044944</v>
      </c>
      <c r="P152" s="634">
        <v>11.5</v>
      </c>
      <c r="Q152" s="661">
        <f>(Q157-Q147)/10*5+Q147</f>
        <v>1189.4044987596667</v>
      </c>
      <c r="R152" s="631">
        <v>11.5</v>
      </c>
      <c r="S152" s="662">
        <f>(S157-S147)/10*5+S147</f>
        <v>1222.3711955847243</v>
      </c>
      <c r="T152" s="634">
        <v>11.5</v>
      </c>
      <c r="U152" s="661">
        <f>(U157-U147)/10*5+U147</f>
        <v>1568.2145922302886</v>
      </c>
      <c r="V152" s="631">
        <v>11.5</v>
      </c>
      <c r="W152" s="662">
        <f>(W157-W147)/10*5+W147</f>
        <v>1855.3218707640888</v>
      </c>
      <c r="X152" s="634">
        <v>11.5</v>
      </c>
    </row>
    <row r="153" spans="11:24" hidden="1" x14ac:dyDescent="0.2">
      <c r="K153" s="662">
        <f t="shared" ref="K153" si="599">(K157-K147)/10*6+K147</f>
        <v>497.12525974104523</v>
      </c>
      <c r="L153" s="634">
        <v>11.6</v>
      </c>
      <c r="M153" s="661">
        <f t="shared" ref="M153" si="600">(M157-M147)/10*6+M147</f>
        <v>657.06215218219836</v>
      </c>
      <c r="N153" s="631">
        <v>11.6</v>
      </c>
      <c r="O153" s="662">
        <f t="shared" ref="O153" si="601">(O157-O147)/10*6+O147</f>
        <v>792.13605465776982</v>
      </c>
      <c r="P153" s="634">
        <v>11.6</v>
      </c>
      <c r="Q153" s="661">
        <f>(Q157-Q147)/10*6+Q147</f>
        <v>1202.7189069444321</v>
      </c>
      <c r="R153" s="631">
        <v>11.6</v>
      </c>
      <c r="S153" s="662">
        <f>(S157-S147)/10*6+S147</f>
        <v>1231.8975423034021</v>
      </c>
      <c r="T153" s="634">
        <v>11.6</v>
      </c>
      <c r="U153" s="661">
        <f>(U157-U147)/10*6+U147</f>
        <v>1570.3572050932264</v>
      </c>
      <c r="V153" s="631">
        <v>11.6</v>
      </c>
      <c r="W153" s="662">
        <f>(W157-W147)/10*6+W147</f>
        <v>1868.6088158334317</v>
      </c>
      <c r="X153" s="634">
        <v>11.6</v>
      </c>
    </row>
    <row r="154" spans="11:24" hidden="1" x14ac:dyDescent="0.2">
      <c r="K154" s="662">
        <f t="shared" ref="K154" si="602">(K157-K147)/10*7+K147</f>
        <v>498.94062225115044</v>
      </c>
      <c r="L154" s="634">
        <v>11.7</v>
      </c>
      <c r="M154" s="661">
        <f t="shared" ref="M154" si="603">(M157-M147)/10*7+M147</f>
        <v>662.57362804766535</v>
      </c>
      <c r="N154" s="631">
        <v>11.7</v>
      </c>
      <c r="O154" s="662">
        <f t="shared" ref="O154" si="604">(O157-O147)/10*7+O147</f>
        <v>796.69197947509031</v>
      </c>
      <c r="P154" s="634">
        <v>11.7</v>
      </c>
      <c r="Q154" s="661">
        <f>(Q157-Q147)/10*7+Q147</f>
        <v>1216.0333151291975</v>
      </c>
      <c r="R154" s="631">
        <v>11.7</v>
      </c>
      <c r="S154" s="662">
        <f>(S157-S147)/10*7+S147</f>
        <v>1241.4238890220799</v>
      </c>
      <c r="T154" s="634">
        <v>11.7</v>
      </c>
      <c r="U154" s="661">
        <f>(U157-U147)/10*7+U147</f>
        <v>1572.499817956164</v>
      </c>
      <c r="V154" s="631">
        <v>11.7</v>
      </c>
      <c r="W154" s="662">
        <f>(W157-W147)/10*7+W147</f>
        <v>1881.8957609027748</v>
      </c>
      <c r="X154" s="634">
        <v>11.7</v>
      </c>
    </row>
    <row r="155" spans="11:24" hidden="1" x14ac:dyDescent="0.2">
      <c r="K155" s="662">
        <f t="shared" ref="K155" si="605">(K157-K147)/10*8+K147</f>
        <v>500.75598476125566</v>
      </c>
      <c r="L155" s="634">
        <v>11.8</v>
      </c>
      <c r="M155" s="661">
        <f t="shared" ref="M155" si="606">(M157-M147)/10*8+M147</f>
        <v>668.08510391313246</v>
      </c>
      <c r="N155" s="631">
        <v>11.8</v>
      </c>
      <c r="O155" s="662">
        <f t="shared" ref="O155" si="607">(O157-O147)/10*8+O147</f>
        <v>801.24790429241068</v>
      </c>
      <c r="P155" s="634">
        <v>11.8</v>
      </c>
      <c r="Q155" s="661">
        <f>(Q157-Q147)/10*8+Q147</f>
        <v>1229.3477233139627</v>
      </c>
      <c r="R155" s="631">
        <v>11.8</v>
      </c>
      <c r="S155" s="662">
        <f>(S157-S147)/10*8+S147</f>
        <v>1250.9502357407575</v>
      </c>
      <c r="T155" s="634">
        <v>11.8</v>
      </c>
      <c r="U155" s="661">
        <f>(U157-U147)/10*8+U147</f>
        <v>1574.6424308191017</v>
      </c>
      <c r="V155" s="631">
        <v>11.8</v>
      </c>
      <c r="W155" s="662">
        <f>(W157-W147)/10*8+W147</f>
        <v>1895.1827059721177</v>
      </c>
      <c r="X155" s="634">
        <v>11.8</v>
      </c>
    </row>
    <row r="156" spans="11:24" hidden="1" x14ac:dyDescent="0.2">
      <c r="K156" s="662">
        <f t="shared" ref="K156" si="608">(K157-K147)/10*9+K147</f>
        <v>502.57134727136088</v>
      </c>
      <c r="L156" s="634">
        <v>11.9</v>
      </c>
      <c r="M156" s="661">
        <f t="shared" ref="M156" si="609">(M157-M147)/10*9+M147</f>
        <v>673.59657977859956</v>
      </c>
      <c r="N156" s="631">
        <v>11.9</v>
      </c>
      <c r="O156" s="662">
        <f t="shared" ref="O156" si="610">(O157-O147)/10*9+O147</f>
        <v>805.80382910973117</v>
      </c>
      <c r="P156" s="634">
        <v>11.9</v>
      </c>
      <c r="Q156" s="661">
        <f>(Q157-Q147)/10*9+Q147</f>
        <v>1242.6621314987278</v>
      </c>
      <c r="R156" s="631">
        <v>11.9</v>
      </c>
      <c r="S156" s="662">
        <f>(S157-S147)/10*9+S147</f>
        <v>1260.4765824594351</v>
      </c>
      <c r="T156" s="634">
        <v>11.9</v>
      </c>
      <c r="U156" s="661">
        <f>(U157-U147)/10*9+U147</f>
        <v>1576.7850436820393</v>
      </c>
      <c r="V156" s="631">
        <v>11.9</v>
      </c>
      <c r="W156" s="662">
        <f>(W157-W147)/10*9+W147</f>
        <v>1908.4696510414608</v>
      </c>
      <c r="X156" s="634">
        <v>11.9</v>
      </c>
    </row>
    <row r="157" spans="11:24" hidden="1" x14ac:dyDescent="0.2">
      <c r="K157" s="662">
        <v>504.3867097814661</v>
      </c>
      <c r="L157" s="634">
        <v>12</v>
      </c>
      <c r="M157" s="661">
        <v>679.10805564406655</v>
      </c>
      <c r="N157" s="631">
        <v>12</v>
      </c>
      <c r="O157" s="662">
        <v>810.35975392705154</v>
      </c>
      <c r="P157" s="634">
        <v>12</v>
      </c>
      <c r="Q157" s="661">
        <v>1255.9765396834932</v>
      </c>
      <c r="R157" s="631">
        <v>12</v>
      </c>
      <c r="S157" s="662">
        <v>1270.0029291781129</v>
      </c>
      <c r="T157" s="634">
        <v>12</v>
      </c>
      <c r="U157" s="661">
        <v>1578.927656544977</v>
      </c>
      <c r="V157" s="631">
        <v>12</v>
      </c>
      <c r="W157" s="662">
        <v>1921.7565961108037</v>
      </c>
      <c r="X157" s="634">
        <v>12</v>
      </c>
    </row>
    <row r="158" spans="11:24" hidden="1" x14ac:dyDescent="0.2">
      <c r="M158" s="661">
        <f t="shared" ref="M158" si="611">(M167-M157)/10*1+M157</f>
        <v>684.60063467476039</v>
      </c>
      <c r="N158" s="631">
        <v>12.1</v>
      </c>
      <c r="O158" s="662">
        <f t="shared" ref="O158" si="612">(O167-O157)/10*1+O157</f>
        <v>818.19696277608671</v>
      </c>
      <c r="P158" s="634">
        <v>12.1</v>
      </c>
      <c r="Q158" s="661">
        <f>(Q167-Q157)/10*1+Q157</f>
        <v>1267.2720953426769</v>
      </c>
      <c r="R158" s="631">
        <v>12.1</v>
      </c>
      <c r="S158" s="662">
        <f>(S167-S157)/10*1+S157</f>
        <v>1283.248147564067</v>
      </c>
      <c r="T158" s="634">
        <v>12.1</v>
      </c>
      <c r="U158" s="661">
        <f>(U167-U157)/10*1+U157</f>
        <v>1580.2658450792296</v>
      </c>
      <c r="V158" s="631">
        <v>12.1</v>
      </c>
      <c r="W158" s="662">
        <f>(W167-W157)/10*1+W157</f>
        <v>1941.1449195146211</v>
      </c>
      <c r="X158" s="634">
        <v>12.1</v>
      </c>
    </row>
    <row r="159" spans="11:24" hidden="1" x14ac:dyDescent="0.2">
      <c r="M159" s="661">
        <f t="shared" ref="M159" si="613">(M167-M157)/10*2+M157</f>
        <v>690.09321370545422</v>
      </c>
      <c r="N159" s="631">
        <v>12.2</v>
      </c>
      <c r="O159" s="662">
        <f t="shared" ref="O159" si="614">(O167-O157)/10*2+O157</f>
        <v>826.03417162512187</v>
      </c>
      <c r="P159" s="634">
        <v>12.2</v>
      </c>
      <c r="Q159" s="661">
        <f>(Q167-Q157)/10*2+Q157</f>
        <v>1278.5676510018607</v>
      </c>
      <c r="R159" s="631">
        <v>12.2</v>
      </c>
      <c r="S159" s="662">
        <f>(S167-S157)/10*2+S157</f>
        <v>1296.4933659500209</v>
      </c>
      <c r="T159" s="634">
        <v>12.2</v>
      </c>
      <c r="U159" s="661">
        <f>(U167-U157)/10*2+U157</f>
        <v>1581.6040336134822</v>
      </c>
      <c r="V159" s="631">
        <v>12.2</v>
      </c>
      <c r="W159" s="662">
        <f>(W167-W157)/10*2+W157</f>
        <v>1960.5332429184382</v>
      </c>
      <c r="X159" s="634">
        <v>12.2</v>
      </c>
    </row>
    <row r="160" spans="11:24" hidden="1" x14ac:dyDescent="0.2">
      <c r="M160" s="661">
        <f t="shared" ref="M160" si="615">(M167-M157)/10*3+M157</f>
        <v>695.58579273614816</v>
      </c>
      <c r="N160" s="631">
        <v>12.3</v>
      </c>
      <c r="O160" s="662">
        <f t="shared" ref="O160" si="616">(O167-O157)/10*3+O157</f>
        <v>833.87138047415704</v>
      </c>
      <c r="P160" s="634">
        <v>12.3</v>
      </c>
      <c r="Q160" s="661">
        <f>(Q167-Q157)/10*3+Q157</f>
        <v>1289.8632066610442</v>
      </c>
      <c r="R160" s="631">
        <v>12.3</v>
      </c>
      <c r="S160" s="662">
        <f>(S167-S157)/10*3+S157</f>
        <v>1309.738584335975</v>
      </c>
      <c r="T160" s="634">
        <v>12.3</v>
      </c>
      <c r="U160" s="661">
        <f>(U167-U157)/10*3+U157</f>
        <v>1582.9422221477348</v>
      </c>
      <c r="V160" s="631">
        <v>12.3</v>
      </c>
      <c r="W160" s="662">
        <f>(W167-W157)/10*3+W157</f>
        <v>1979.9215663222553</v>
      </c>
      <c r="X160" s="634">
        <v>12.3</v>
      </c>
    </row>
    <row r="161" spans="13:24" hidden="1" x14ac:dyDescent="0.2">
      <c r="M161" s="661">
        <f t="shared" ref="M161" si="617">(M167-M157)/10*4+M157</f>
        <v>701.078371766842</v>
      </c>
      <c r="N161" s="631">
        <v>12.4</v>
      </c>
      <c r="O161" s="662">
        <f t="shared" ref="O161" si="618">(O167-O157)/10*4+O157</f>
        <v>841.7085893231922</v>
      </c>
      <c r="P161" s="634">
        <v>12.4</v>
      </c>
      <c r="Q161" s="661">
        <f>(Q167-Q157)/10*4+Q157</f>
        <v>1301.1587623202279</v>
      </c>
      <c r="R161" s="631">
        <v>12.4</v>
      </c>
      <c r="S161" s="662">
        <f>(S167-S157)/10*4+S157</f>
        <v>1322.9838027219289</v>
      </c>
      <c r="T161" s="634">
        <v>12.4</v>
      </c>
      <c r="U161" s="661">
        <f>(U167-U157)/10*4+U157</f>
        <v>1584.2804106819874</v>
      </c>
      <c r="V161" s="631">
        <v>12.4</v>
      </c>
      <c r="W161" s="662">
        <f>(W167-W157)/10*4+W157</f>
        <v>1999.3098897260727</v>
      </c>
      <c r="X161" s="634">
        <v>12.4</v>
      </c>
    </row>
    <row r="162" spans="13:24" hidden="1" x14ac:dyDescent="0.2">
      <c r="M162" s="661">
        <f t="shared" ref="M162" si="619">(M167-M157)/10*5+M157</f>
        <v>706.57095079753583</v>
      </c>
      <c r="N162" s="631">
        <v>12.5</v>
      </c>
      <c r="O162" s="662">
        <f t="shared" ref="O162" si="620">(O167-O157)/10*5+O157</f>
        <v>849.54579817222725</v>
      </c>
      <c r="P162" s="634">
        <v>12.5</v>
      </c>
      <c r="Q162" s="661">
        <f>(Q167-Q157)/10*5+Q157</f>
        <v>1312.4543179794116</v>
      </c>
      <c r="R162" s="631">
        <v>12.5</v>
      </c>
      <c r="S162" s="662">
        <f>(S167-S157)/10*5+S157</f>
        <v>1336.229021107883</v>
      </c>
      <c r="T162" s="634">
        <v>12.5</v>
      </c>
      <c r="U162" s="661">
        <f>(U167-U157)/10*5+U157</f>
        <v>1585.61859921624</v>
      </c>
      <c r="V162" s="631">
        <v>12.5</v>
      </c>
      <c r="W162" s="662">
        <f>(W167-W157)/10*5+W157</f>
        <v>2018.6982131298901</v>
      </c>
      <c r="X162" s="634">
        <v>12.5</v>
      </c>
    </row>
    <row r="163" spans="13:24" hidden="1" x14ac:dyDescent="0.2">
      <c r="M163" s="661">
        <f t="shared" ref="M163" si="621">(M167-M157)/10*6+M157</f>
        <v>712.06352982822966</v>
      </c>
      <c r="N163" s="631">
        <v>12.6</v>
      </c>
      <c r="O163" s="662">
        <f t="shared" ref="O163" si="622">(O167-O157)/10*6+O157</f>
        <v>857.38300702126242</v>
      </c>
      <c r="P163" s="634">
        <v>12.6</v>
      </c>
      <c r="Q163" s="661">
        <f>(Q167-Q157)/10*6+Q157</f>
        <v>1323.7498736385953</v>
      </c>
      <c r="R163" s="631">
        <v>12.6</v>
      </c>
      <c r="S163" s="662">
        <f>(S167-S157)/10*6+S157</f>
        <v>1349.4742394938371</v>
      </c>
      <c r="T163" s="634">
        <v>12.6</v>
      </c>
      <c r="U163" s="661">
        <f>(U167-U157)/10*6+U157</f>
        <v>1586.9567877504924</v>
      </c>
      <c r="V163" s="631">
        <v>12.6</v>
      </c>
      <c r="W163" s="662">
        <f>(W167-W157)/10*6+W157</f>
        <v>2038.0865365337072</v>
      </c>
      <c r="X163" s="634">
        <v>12.6</v>
      </c>
    </row>
    <row r="164" spans="13:24" hidden="1" x14ac:dyDescent="0.2">
      <c r="M164" s="661">
        <f t="shared" ref="M164" si="623">(M167-M157)/10*7+M157</f>
        <v>717.55610885892349</v>
      </c>
      <c r="N164" s="631">
        <v>12.7</v>
      </c>
      <c r="O164" s="662">
        <f t="shared" ref="O164" si="624">(O167-O157)/10*7+O157</f>
        <v>865.22021587029758</v>
      </c>
      <c r="P164" s="634">
        <v>12.7</v>
      </c>
      <c r="Q164" s="661">
        <f>(Q167-Q157)/10*7+Q157</f>
        <v>1335.045429297779</v>
      </c>
      <c r="R164" s="631">
        <v>12.7</v>
      </c>
      <c r="S164" s="662">
        <f>(S167-S157)/10*7+S157</f>
        <v>1362.719457879791</v>
      </c>
      <c r="T164" s="634">
        <v>12.7</v>
      </c>
      <c r="U164" s="661">
        <f>(U167-U157)/10*7+U157</f>
        <v>1588.294976284745</v>
      </c>
      <c r="V164" s="631">
        <v>12.7</v>
      </c>
      <c r="W164" s="662">
        <f>(W167-W157)/10*7+W157</f>
        <v>2057.4748599375243</v>
      </c>
      <c r="X164" s="634">
        <v>12.7</v>
      </c>
    </row>
    <row r="165" spans="13:24" hidden="1" x14ac:dyDescent="0.2">
      <c r="M165" s="661">
        <f t="shared" ref="M165" si="625">(M167-M157)/10*8+M157</f>
        <v>723.04868788961744</v>
      </c>
      <c r="N165" s="631">
        <v>12.8</v>
      </c>
      <c r="O165" s="662">
        <f t="shared" ref="O165" si="626">(O167-O157)/10*8+O157</f>
        <v>873.05742471933274</v>
      </c>
      <c r="P165" s="634">
        <v>12.8</v>
      </c>
      <c r="Q165" s="661">
        <f>(Q167-Q157)/10*8+Q157</f>
        <v>1346.3409849569625</v>
      </c>
      <c r="R165" s="631">
        <v>12.8</v>
      </c>
      <c r="S165" s="662">
        <f>(S167-S157)/10*8+S157</f>
        <v>1375.9646762657451</v>
      </c>
      <c r="T165" s="634">
        <v>12.8</v>
      </c>
      <c r="U165" s="661">
        <f>(U167-U157)/10*8+U157</f>
        <v>1589.6331648189976</v>
      </c>
      <c r="V165" s="631">
        <v>12.8</v>
      </c>
      <c r="W165" s="662">
        <f>(W167-W157)/10*8+W157</f>
        <v>2076.8631833413419</v>
      </c>
      <c r="X165" s="634">
        <v>12.8</v>
      </c>
    </row>
    <row r="166" spans="13:24" hidden="1" x14ac:dyDescent="0.2">
      <c r="M166" s="661">
        <f t="shared" ref="M166" si="627">(M167-M157)/10*9+M157</f>
        <v>728.54126692031127</v>
      </c>
      <c r="N166" s="631">
        <v>12.9</v>
      </c>
      <c r="O166" s="662">
        <f t="shared" ref="O166" si="628">(O167-O157)/10*9+O157</f>
        <v>880.89463356836791</v>
      </c>
      <c r="P166" s="634">
        <v>12.9</v>
      </c>
      <c r="Q166" s="661">
        <f>(Q167-Q157)/10*9+Q157</f>
        <v>1357.6365406161462</v>
      </c>
      <c r="R166" s="631">
        <v>12.9</v>
      </c>
      <c r="S166" s="662">
        <f>(S167-S157)/10*9+S157</f>
        <v>1389.209894651699</v>
      </c>
      <c r="T166" s="634">
        <v>12.9</v>
      </c>
      <c r="U166" s="661">
        <f>(U167-U157)/10*9+U157</f>
        <v>1590.9713533532502</v>
      </c>
      <c r="V166" s="631">
        <v>12.9</v>
      </c>
      <c r="W166" s="662">
        <f>(W167-W157)/10*9+W157</f>
        <v>2096.2515067451591</v>
      </c>
      <c r="X166" s="634">
        <v>12.9</v>
      </c>
    </row>
    <row r="167" spans="13:24" hidden="1" x14ac:dyDescent="0.2">
      <c r="M167" s="661">
        <v>734.03384595100511</v>
      </c>
      <c r="N167" s="631">
        <v>13</v>
      </c>
      <c r="O167" s="662">
        <v>888.73184241740307</v>
      </c>
      <c r="P167" s="634">
        <v>13</v>
      </c>
      <c r="Q167" s="661">
        <v>1368.93209627533</v>
      </c>
      <c r="R167" s="631">
        <v>13</v>
      </c>
      <c r="S167" s="662">
        <v>1402.4551130376531</v>
      </c>
      <c r="T167" s="634">
        <v>13</v>
      </c>
      <c r="U167" s="661">
        <v>1592.3095418875027</v>
      </c>
      <c r="V167" s="631">
        <v>13</v>
      </c>
      <c r="W167" s="662">
        <v>2115.6398301489762</v>
      </c>
      <c r="X167" s="634">
        <v>13</v>
      </c>
    </row>
    <row r="168" spans="13:24" hidden="1" x14ac:dyDescent="0.2">
      <c r="M168" s="661">
        <f t="shared" ref="M168" si="629">(M177-M167)/10*1+M167</f>
        <v>739.87205053035325</v>
      </c>
      <c r="N168" s="631">
        <v>13.1</v>
      </c>
      <c r="O168" s="662">
        <f t="shared" ref="O168" si="630">(O177-O167)/10*1+O167</f>
        <v>897.25773675916344</v>
      </c>
      <c r="P168" s="634">
        <v>13.1</v>
      </c>
      <c r="Q168" s="661">
        <f>(Q177-Q167)/10*1+Q167</f>
        <v>1376.8469893384963</v>
      </c>
      <c r="R168" s="631">
        <v>13.1</v>
      </c>
      <c r="S168" s="662">
        <f>(S177-S167)/10*1+S167</f>
        <v>1415.4352129419849</v>
      </c>
      <c r="T168" s="634">
        <v>13.1</v>
      </c>
      <c r="U168" s="661">
        <f>(U177-U167)/10*1+U167</f>
        <v>1606.5187414031122</v>
      </c>
      <c r="V168" s="631">
        <v>13.1</v>
      </c>
      <c r="W168" s="662">
        <f>(W177-W167)/10*1+W167</f>
        <v>2134.6827690616283</v>
      </c>
      <c r="X168" s="634">
        <v>13.1</v>
      </c>
    </row>
    <row r="169" spans="13:24" hidden="1" x14ac:dyDescent="0.2">
      <c r="M169" s="661">
        <f t="shared" ref="M169" si="631">(M177-M167)/10*2+M167</f>
        <v>745.71025510970128</v>
      </c>
      <c r="N169" s="631">
        <v>13.2</v>
      </c>
      <c r="O169" s="662">
        <f t="shared" ref="O169" si="632">(O177-O167)/10*2+O167</f>
        <v>905.78363110092391</v>
      </c>
      <c r="P169" s="634">
        <v>13.2</v>
      </c>
      <c r="Q169" s="661">
        <f>(Q177-Q167)/10*2+Q167</f>
        <v>1384.7618824016624</v>
      </c>
      <c r="R169" s="631">
        <v>13.2</v>
      </c>
      <c r="S169" s="662">
        <f>(S177-S167)/10*2+S167</f>
        <v>1428.415312846317</v>
      </c>
      <c r="T169" s="634">
        <v>13.2</v>
      </c>
      <c r="U169" s="661">
        <f>(U177-U167)/10*2+U167</f>
        <v>1620.7279409187215</v>
      </c>
      <c r="V169" s="631">
        <v>13.2</v>
      </c>
      <c r="W169" s="662">
        <f>(W177-W167)/10*2+W167</f>
        <v>2153.7257079742808</v>
      </c>
      <c r="X169" s="634">
        <v>13.2</v>
      </c>
    </row>
    <row r="170" spans="13:24" hidden="1" x14ac:dyDescent="0.2">
      <c r="M170" s="661">
        <f t="shared" ref="M170" si="633">(M177-M167)/10*3+M167</f>
        <v>751.54845968904942</v>
      </c>
      <c r="N170" s="631">
        <v>13.3</v>
      </c>
      <c r="O170" s="662">
        <f t="shared" ref="O170" si="634">(O177-O167)/10*3+O167</f>
        <v>914.30952544268428</v>
      </c>
      <c r="P170" s="634">
        <v>13.3</v>
      </c>
      <c r="Q170" s="661">
        <f>(Q177-Q167)/10*3+Q167</f>
        <v>1392.6767754648288</v>
      </c>
      <c r="R170" s="631">
        <v>13.3</v>
      </c>
      <c r="S170" s="662">
        <f>(S177-S167)/10*3+S167</f>
        <v>1441.3954127506488</v>
      </c>
      <c r="T170" s="634">
        <v>13.3</v>
      </c>
      <c r="U170" s="661">
        <f>(U177-U167)/10*3+U167</f>
        <v>1634.937140434331</v>
      </c>
      <c r="V170" s="631">
        <v>13.3</v>
      </c>
      <c r="W170" s="662">
        <f>(W177-W167)/10*3+W167</f>
        <v>2172.7686468869329</v>
      </c>
      <c r="X170" s="634">
        <v>13.3</v>
      </c>
    </row>
    <row r="171" spans="13:24" hidden="1" x14ac:dyDescent="0.2">
      <c r="M171" s="661">
        <f t="shared" ref="M171" si="635">(M177-M167)/10*4+M167</f>
        <v>757.38666426839757</v>
      </c>
      <c r="N171" s="631">
        <v>13.4</v>
      </c>
      <c r="O171" s="662">
        <f t="shared" ref="O171" si="636">(O177-O167)/10*4+O167</f>
        <v>922.83541978444464</v>
      </c>
      <c r="P171" s="634">
        <v>13.4</v>
      </c>
      <c r="Q171" s="661">
        <f>(Q177-Q167)/10*4+Q167</f>
        <v>1400.5916685279949</v>
      </c>
      <c r="R171" s="631">
        <v>13.4</v>
      </c>
      <c r="S171" s="662">
        <f>(S177-S167)/10*4+S167</f>
        <v>1454.3755126549806</v>
      </c>
      <c r="T171" s="634">
        <v>13.4</v>
      </c>
      <c r="U171" s="661">
        <f>(U177-U167)/10*4+U167</f>
        <v>1649.1463399499403</v>
      </c>
      <c r="V171" s="631">
        <v>13.4</v>
      </c>
      <c r="W171" s="662">
        <f>(W177-W167)/10*4+W167</f>
        <v>2191.8115857995849</v>
      </c>
      <c r="X171" s="634">
        <v>13.4</v>
      </c>
    </row>
    <row r="172" spans="13:24" hidden="1" x14ac:dyDescent="0.2">
      <c r="M172" s="661">
        <f t="shared" ref="M172" si="637">(M177-M167)/10*5+M167</f>
        <v>763.22486884774571</v>
      </c>
      <c r="N172" s="631">
        <v>13.5</v>
      </c>
      <c r="O172" s="662">
        <f t="shared" ref="O172" si="638">(O177-O167)/10*5+O167</f>
        <v>931.36131412620512</v>
      </c>
      <c r="P172" s="634">
        <v>13.5</v>
      </c>
      <c r="Q172" s="661">
        <f>(Q177-Q167)/10*5+Q167</f>
        <v>1408.5065615911612</v>
      </c>
      <c r="R172" s="631">
        <v>13.5</v>
      </c>
      <c r="S172" s="662">
        <f>(S177-S167)/10*5+S167</f>
        <v>1467.3556125593127</v>
      </c>
      <c r="T172" s="634">
        <v>13.5</v>
      </c>
      <c r="U172" s="661">
        <f>(U177-U167)/10*5+U167</f>
        <v>1663.3555394655498</v>
      </c>
      <c r="V172" s="631">
        <v>13.5</v>
      </c>
      <c r="W172" s="662">
        <f>(W177-W167)/10*5+W167</f>
        <v>2210.8545247122374</v>
      </c>
      <c r="X172" s="634">
        <v>13.5</v>
      </c>
    </row>
    <row r="173" spans="13:24" hidden="1" x14ac:dyDescent="0.2">
      <c r="M173" s="661">
        <f t="shared" ref="M173" si="639">(M177-M167)/10*6+M167</f>
        <v>769.06307342709374</v>
      </c>
      <c r="N173" s="631">
        <v>13.6</v>
      </c>
      <c r="O173" s="662">
        <f t="shared" ref="O173" si="640">(O177-O167)/10*6+O167</f>
        <v>939.88720846796548</v>
      </c>
      <c r="P173" s="634">
        <v>13.6</v>
      </c>
      <c r="Q173" s="661">
        <f>(Q177-Q167)/10*6+Q167</f>
        <v>1416.4214546543276</v>
      </c>
      <c r="R173" s="631">
        <v>13.6</v>
      </c>
      <c r="S173" s="662">
        <f>(S177-S167)/10*6+S167</f>
        <v>1480.3357124636445</v>
      </c>
      <c r="T173" s="634">
        <v>13.6</v>
      </c>
      <c r="U173" s="661">
        <f>(U177-U167)/10*6+U167</f>
        <v>1677.5647389811593</v>
      </c>
      <c r="V173" s="631">
        <v>13.6</v>
      </c>
      <c r="W173" s="662">
        <f>(W177-W167)/10*6+W167</f>
        <v>2229.8974636248895</v>
      </c>
      <c r="X173" s="634">
        <v>13.6</v>
      </c>
    </row>
    <row r="174" spans="13:24" hidden="1" x14ac:dyDescent="0.2">
      <c r="M174" s="661">
        <f t="shared" ref="M174" si="641">(M177-M167)/10*7+M167</f>
        <v>774.90127800644188</v>
      </c>
      <c r="N174" s="631">
        <v>13.7</v>
      </c>
      <c r="O174" s="662">
        <f t="shared" ref="O174" si="642">(O177-O167)/10*7+O167</f>
        <v>948.41310280972584</v>
      </c>
      <c r="P174" s="634">
        <v>13.7</v>
      </c>
      <c r="Q174" s="661">
        <f>(Q177-Q167)/10*7+Q167</f>
        <v>1424.3363477174937</v>
      </c>
      <c r="R174" s="631">
        <v>13.7</v>
      </c>
      <c r="S174" s="662">
        <f>(S177-S167)/10*7+S167</f>
        <v>1493.3158123679764</v>
      </c>
      <c r="T174" s="634">
        <v>13.7</v>
      </c>
      <c r="U174" s="661">
        <f>(U177-U167)/10*7+U167</f>
        <v>1691.7739384967686</v>
      </c>
      <c r="V174" s="631">
        <v>13.7</v>
      </c>
      <c r="W174" s="662">
        <f>(W177-W167)/10*7+W167</f>
        <v>2248.9404025375416</v>
      </c>
      <c r="X174" s="634">
        <v>13.7</v>
      </c>
    </row>
    <row r="175" spans="13:24" hidden="1" x14ac:dyDescent="0.2">
      <c r="M175" s="661">
        <f t="shared" ref="M175" si="643">(M177-M167)/10*8+M167</f>
        <v>780.73948258579003</v>
      </c>
      <c r="N175" s="631">
        <v>13.8</v>
      </c>
      <c r="O175" s="662">
        <f t="shared" ref="O175" si="644">(O177-O167)/10*8+O167</f>
        <v>956.93899715148621</v>
      </c>
      <c r="P175" s="634">
        <v>13.8</v>
      </c>
      <c r="Q175" s="661">
        <f>(Q177-Q167)/10*8+Q167</f>
        <v>1432.2512407806601</v>
      </c>
      <c r="R175" s="631">
        <v>13.8</v>
      </c>
      <c r="S175" s="662">
        <f>(S177-S167)/10*8+S167</f>
        <v>1506.2959122723082</v>
      </c>
      <c r="T175" s="634">
        <v>13.8</v>
      </c>
      <c r="U175" s="661">
        <f>(U177-U167)/10*8+U167</f>
        <v>1705.983138012378</v>
      </c>
      <c r="V175" s="631">
        <v>13.8</v>
      </c>
      <c r="W175" s="662">
        <f>(W177-W167)/10*8+W167</f>
        <v>2267.9833414501936</v>
      </c>
      <c r="X175" s="634">
        <v>13.8</v>
      </c>
    </row>
    <row r="176" spans="13:24" hidden="1" x14ac:dyDescent="0.2">
      <c r="M176" s="661">
        <f t="shared" ref="M176" si="645">(M177-M167)/10*9+M167</f>
        <v>786.57768716513806</v>
      </c>
      <c r="N176" s="631">
        <v>13.9</v>
      </c>
      <c r="O176" s="662">
        <f t="shared" ref="O176" si="646">(O177-O167)/10*9+O167</f>
        <v>965.46489149324668</v>
      </c>
      <c r="P176" s="634">
        <v>13.9</v>
      </c>
      <c r="Q176" s="661">
        <f>(Q177-Q167)/10*9+Q167</f>
        <v>1440.1661338438262</v>
      </c>
      <c r="R176" s="631">
        <v>13.9</v>
      </c>
      <c r="S176" s="662">
        <f>(S177-S167)/10*9+S167</f>
        <v>1519.2760121766403</v>
      </c>
      <c r="T176" s="634">
        <v>13.9</v>
      </c>
      <c r="U176" s="661">
        <f>(U177-U167)/10*9+U167</f>
        <v>1720.1923375279873</v>
      </c>
      <c r="V176" s="631">
        <v>13.9</v>
      </c>
      <c r="W176" s="662">
        <f>(W177-W167)/10*9+W167</f>
        <v>2287.0262803628461</v>
      </c>
      <c r="X176" s="634">
        <v>13.9</v>
      </c>
    </row>
    <row r="177" spans="13:24" hidden="1" x14ac:dyDescent="0.2">
      <c r="M177" s="661">
        <v>792.4158917444862</v>
      </c>
      <c r="N177" s="631">
        <v>14</v>
      </c>
      <c r="O177" s="662">
        <v>973.99078583500705</v>
      </c>
      <c r="P177" s="634">
        <v>14</v>
      </c>
      <c r="Q177" s="661">
        <v>1448.0810269069925</v>
      </c>
      <c r="R177" s="631">
        <v>14</v>
      </c>
      <c r="S177" s="662">
        <v>1532.2561120809721</v>
      </c>
      <c r="T177" s="634">
        <v>14</v>
      </c>
      <c r="U177" s="661">
        <v>1734.4015370435968</v>
      </c>
      <c r="V177" s="631">
        <v>14</v>
      </c>
      <c r="W177" s="662">
        <v>2306.0692192754982</v>
      </c>
      <c r="X177" s="634">
        <v>14</v>
      </c>
    </row>
    <row r="178" spans="13:24" hidden="1" x14ac:dyDescent="0.2">
      <c r="M178" s="661">
        <f t="shared" ref="M178" si="647">(M187-M177)/10*1+M177</f>
        <v>797.5109437760708</v>
      </c>
      <c r="N178" s="631">
        <v>14.1</v>
      </c>
      <c r="O178" s="662">
        <f t="shared" ref="O178" si="648">(O187-O177)/10*1+O177</f>
        <v>981.01854359323659</v>
      </c>
      <c r="P178" s="634">
        <v>14.1</v>
      </c>
      <c r="Q178" s="661">
        <f>(Q187-Q177)/10*1+Q177</f>
        <v>1460.338036997174</v>
      </c>
      <c r="R178" s="631">
        <v>14.1</v>
      </c>
      <c r="S178" s="662">
        <f>(S187-S177)/10*1+S177</f>
        <v>1545.6621432429804</v>
      </c>
      <c r="T178" s="634">
        <v>14.1</v>
      </c>
      <c r="U178" s="661">
        <f>(U187-U177)/10*1+U177</f>
        <v>1741.3877627052057</v>
      </c>
      <c r="V178" s="631">
        <v>14.1</v>
      </c>
      <c r="W178" s="662">
        <f>(W187-W177)/10*1+W177</f>
        <v>2325.8085497750671</v>
      </c>
      <c r="X178" s="634">
        <v>14.1</v>
      </c>
    </row>
    <row r="179" spans="13:24" hidden="1" x14ac:dyDescent="0.2">
      <c r="M179" s="661">
        <f t="shared" ref="M179" si="649">(M187-M177)/10*2+M177</f>
        <v>802.60599580765552</v>
      </c>
      <c r="N179" s="631">
        <v>14.2</v>
      </c>
      <c r="O179" s="662">
        <f t="shared" ref="O179" si="650">(O187-O177)/10*2+O177</f>
        <v>988.04630135146613</v>
      </c>
      <c r="P179" s="634">
        <v>14.2</v>
      </c>
      <c r="Q179" s="661">
        <f>(Q187-Q177)/10*2+Q177</f>
        <v>1472.5950470873554</v>
      </c>
      <c r="R179" s="631">
        <v>14.2</v>
      </c>
      <c r="S179" s="662">
        <f>(S187-S177)/10*2+S177</f>
        <v>1559.0681744049887</v>
      </c>
      <c r="T179" s="634">
        <v>14.2</v>
      </c>
      <c r="U179" s="661">
        <f>(U187-U177)/10*2+U177</f>
        <v>1748.3739883668143</v>
      </c>
      <c r="V179" s="631">
        <v>14.2</v>
      </c>
      <c r="W179" s="662">
        <f>(W187-W177)/10*2+W177</f>
        <v>2345.5478802746361</v>
      </c>
      <c r="X179" s="634">
        <v>14.2</v>
      </c>
    </row>
    <row r="180" spans="13:24" hidden="1" x14ac:dyDescent="0.2">
      <c r="M180" s="661">
        <f t="shared" ref="M180" si="651">(M187-M177)/10*3+M177</f>
        <v>807.70104783924012</v>
      </c>
      <c r="N180" s="631">
        <v>14.3</v>
      </c>
      <c r="O180" s="662">
        <f t="shared" ref="O180" si="652">(O187-O177)/10*3+O177</f>
        <v>995.07405910969578</v>
      </c>
      <c r="P180" s="634">
        <v>14.3</v>
      </c>
      <c r="Q180" s="661">
        <f>(Q187-Q177)/10*3+Q177</f>
        <v>1484.8520571775368</v>
      </c>
      <c r="R180" s="631">
        <v>14.3</v>
      </c>
      <c r="S180" s="662">
        <f>(S187-S177)/10*3+S177</f>
        <v>1572.4742055669969</v>
      </c>
      <c r="T180" s="634">
        <v>14.3</v>
      </c>
      <c r="U180" s="661">
        <f>(U187-U177)/10*3+U177</f>
        <v>1755.3602140284229</v>
      </c>
      <c r="V180" s="631">
        <v>14.3</v>
      </c>
      <c r="W180" s="662">
        <f>(W187-W177)/10*3+W177</f>
        <v>2365.2872107742051</v>
      </c>
      <c r="X180" s="634">
        <v>14.3</v>
      </c>
    </row>
    <row r="181" spans="13:24" hidden="1" x14ac:dyDescent="0.2">
      <c r="M181" s="661">
        <f t="shared" ref="M181" si="653">(M187-M177)/10*4+M177</f>
        <v>812.79609987082472</v>
      </c>
      <c r="N181" s="631">
        <v>14.4</v>
      </c>
      <c r="O181" s="662">
        <f t="shared" ref="O181" si="654">(O187-O177)/10*4+O177</f>
        <v>1002.1018168679253</v>
      </c>
      <c r="P181" s="634">
        <v>14.4</v>
      </c>
      <c r="Q181" s="661">
        <f>(Q187-Q177)/10*4+Q177</f>
        <v>1497.1090672677183</v>
      </c>
      <c r="R181" s="631">
        <v>14.4</v>
      </c>
      <c r="S181" s="662">
        <f>(S187-S177)/10*4+S177</f>
        <v>1585.8802367290052</v>
      </c>
      <c r="T181" s="634">
        <v>14.4</v>
      </c>
      <c r="U181" s="661">
        <f>(U187-U177)/10*4+U177</f>
        <v>1762.3464396900317</v>
      </c>
      <c r="V181" s="631">
        <v>14.4</v>
      </c>
      <c r="W181" s="662">
        <f>(W187-W177)/10*4+W177</f>
        <v>2385.026541273774</v>
      </c>
      <c r="X181" s="634">
        <v>14.4</v>
      </c>
    </row>
    <row r="182" spans="13:24" hidden="1" x14ac:dyDescent="0.2">
      <c r="M182" s="661">
        <f t="shared" ref="M182" si="655">(M187-M177)/10*5+M177</f>
        <v>817.89115190240932</v>
      </c>
      <c r="N182" s="631">
        <v>14.5</v>
      </c>
      <c r="O182" s="662">
        <f t="shared" ref="O182" si="656">(O187-O177)/10*5+O177</f>
        <v>1009.1295746261549</v>
      </c>
      <c r="P182" s="634">
        <v>14.5</v>
      </c>
      <c r="Q182" s="661">
        <f>(Q187-Q177)/10*5+Q177</f>
        <v>1509.3660773578995</v>
      </c>
      <c r="R182" s="631">
        <v>14.5</v>
      </c>
      <c r="S182" s="662">
        <f>(S187-S177)/10*5+S177</f>
        <v>1599.2862678910135</v>
      </c>
      <c r="T182" s="634">
        <v>14.5</v>
      </c>
      <c r="U182" s="661">
        <f>(U187-U177)/10*5+U177</f>
        <v>1769.3326653516406</v>
      </c>
      <c r="V182" s="631">
        <v>14.5</v>
      </c>
      <c r="W182" s="662">
        <f>(W187-W177)/10*5+W177</f>
        <v>2404.765871773343</v>
      </c>
      <c r="X182" s="634">
        <v>14.5</v>
      </c>
    </row>
    <row r="183" spans="13:24" hidden="1" x14ac:dyDescent="0.2">
      <c r="M183" s="661">
        <f t="shared" ref="M183" si="657">(M187-M177)/10*6+M177</f>
        <v>822.98620393399403</v>
      </c>
      <c r="N183" s="631">
        <v>14.6</v>
      </c>
      <c r="O183" s="662">
        <f t="shared" ref="O183" si="658">(O187-O177)/10*6+O177</f>
        <v>1016.1573323843844</v>
      </c>
      <c r="P183" s="634">
        <v>14.6</v>
      </c>
      <c r="Q183" s="661">
        <f>(Q187-Q177)/10*6+Q177</f>
        <v>1521.6230874480809</v>
      </c>
      <c r="R183" s="631">
        <v>14.6</v>
      </c>
      <c r="S183" s="662">
        <f>(S187-S177)/10*6+S177</f>
        <v>1612.6922990530218</v>
      </c>
      <c r="T183" s="634">
        <v>14.6</v>
      </c>
      <c r="U183" s="661">
        <f>(U187-U177)/10*6+U177</f>
        <v>1776.3188910132492</v>
      </c>
      <c r="V183" s="631">
        <v>14.6</v>
      </c>
      <c r="W183" s="662">
        <f>(W187-W177)/10*6+W177</f>
        <v>2424.5052022729114</v>
      </c>
      <c r="X183" s="634">
        <v>14.6</v>
      </c>
    </row>
    <row r="184" spans="13:24" hidden="1" x14ac:dyDescent="0.2">
      <c r="M184" s="661">
        <f t="shared" ref="M184" si="659">(M187-M177)/10*7+M177</f>
        <v>828.08125596557863</v>
      </c>
      <c r="N184" s="631">
        <v>14.7</v>
      </c>
      <c r="O184" s="662">
        <f t="shared" ref="O184" si="660">(O187-O177)/10*7+O177</f>
        <v>1023.1850901426139</v>
      </c>
      <c r="P184" s="634">
        <v>14.7</v>
      </c>
      <c r="Q184" s="661">
        <f>(Q187-Q177)/10*7+Q177</f>
        <v>1533.8800975382624</v>
      </c>
      <c r="R184" s="631">
        <v>14.7</v>
      </c>
      <c r="S184" s="662">
        <f>(S187-S177)/10*7+S177</f>
        <v>1626.09833021503</v>
      </c>
      <c r="T184" s="634">
        <v>14.7</v>
      </c>
      <c r="U184" s="661">
        <f>(U187-U177)/10*7+U177</f>
        <v>1783.3051166748578</v>
      </c>
      <c r="V184" s="631">
        <v>14.7</v>
      </c>
      <c r="W184" s="662">
        <f>(W187-W177)/10*7+W177</f>
        <v>2444.2445327724804</v>
      </c>
      <c r="X184" s="634">
        <v>14.7</v>
      </c>
    </row>
    <row r="185" spans="13:24" hidden="1" x14ac:dyDescent="0.2">
      <c r="M185" s="661">
        <f t="shared" ref="M185" si="661">(M187-M177)/10*8+M177</f>
        <v>833.17630799716324</v>
      </c>
      <c r="N185" s="631">
        <v>14.8</v>
      </c>
      <c r="O185" s="662">
        <f t="shared" ref="O185" si="662">(O187-O177)/10*8+O177</f>
        <v>1030.2128479008436</v>
      </c>
      <c r="P185" s="634">
        <v>14.8</v>
      </c>
      <c r="Q185" s="661">
        <f>(Q187-Q177)/10*8+Q177</f>
        <v>1546.1371076284438</v>
      </c>
      <c r="R185" s="631">
        <v>14.8</v>
      </c>
      <c r="S185" s="662">
        <f>(S187-S177)/10*8+S177</f>
        <v>1639.5043613770383</v>
      </c>
      <c r="T185" s="634">
        <v>14.8</v>
      </c>
      <c r="U185" s="661">
        <f>(U187-U177)/10*8+U177</f>
        <v>1790.2913423364666</v>
      </c>
      <c r="V185" s="631">
        <v>14.8</v>
      </c>
      <c r="W185" s="662">
        <f>(W187-W177)/10*8+W177</f>
        <v>2463.9838632720493</v>
      </c>
      <c r="X185" s="634">
        <v>14.8</v>
      </c>
    </row>
    <row r="186" spans="13:24" hidden="1" x14ac:dyDescent="0.2">
      <c r="M186" s="661">
        <f t="shared" ref="M186" si="663">(M187-M177)/10*9+M177</f>
        <v>838.27136002874795</v>
      </c>
      <c r="N186" s="631">
        <v>14.9</v>
      </c>
      <c r="O186" s="662">
        <f t="shared" ref="O186" si="664">(O187-O177)/10*9+O177</f>
        <v>1037.240605659073</v>
      </c>
      <c r="P186" s="634">
        <v>14.9</v>
      </c>
      <c r="Q186" s="661">
        <f>(Q187-Q177)/10*9+Q177</f>
        <v>1558.3941177186252</v>
      </c>
      <c r="R186" s="631">
        <v>14.9</v>
      </c>
      <c r="S186" s="662">
        <f>(S187-S177)/10*9+S177</f>
        <v>1652.9103925390466</v>
      </c>
      <c r="T186" s="634">
        <v>14.9</v>
      </c>
      <c r="U186" s="661">
        <f>(U187-U177)/10*9+U177</f>
        <v>1797.2775679980755</v>
      </c>
      <c r="V186" s="631">
        <v>14.9</v>
      </c>
      <c r="W186" s="662">
        <f>(W187-W177)/10*9+W177</f>
        <v>2483.7231937716183</v>
      </c>
      <c r="X186" s="634">
        <v>14.9</v>
      </c>
    </row>
    <row r="187" spans="13:24" hidden="1" x14ac:dyDescent="0.2">
      <c r="M187" s="661">
        <v>843.36641206033255</v>
      </c>
      <c r="N187" s="631">
        <v>15</v>
      </c>
      <c r="O187" s="662">
        <v>1044.2683634173027</v>
      </c>
      <c r="P187" s="634">
        <v>15</v>
      </c>
      <c r="Q187" s="661">
        <v>1570.6511278088067</v>
      </c>
      <c r="R187" s="631">
        <v>15</v>
      </c>
      <c r="S187" s="662">
        <v>1666.3164237010549</v>
      </c>
      <c r="T187" s="634">
        <v>15</v>
      </c>
      <c r="U187" s="661">
        <v>1804.2637936596841</v>
      </c>
      <c r="V187" s="631">
        <v>15</v>
      </c>
      <c r="W187" s="662">
        <v>2503.4625242711872</v>
      </c>
      <c r="X187" s="634">
        <v>15</v>
      </c>
    </row>
    <row r="188" spans="13:24" hidden="1" x14ac:dyDescent="0.2">
      <c r="M188" s="661">
        <f t="shared" ref="M188" si="665">(M197-M187)/10*1+M187</f>
        <v>850.20256662209522</v>
      </c>
      <c r="N188" s="631">
        <v>15.1</v>
      </c>
      <c r="O188" s="662">
        <f t="shared" ref="O188" si="666">(O197-O187)/10*1+O187</f>
        <v>1049.7194438911638</v>
      </c>
      <c r="P188" s="634">
        <v>15.1</v>
      </c>
      <c r="Q188" s="661">
        <f>(Q197-Q187)/10*1+Q187</f>
        <v>1583.2075613799154</v>
      </c>
      <c r="R188" s="631">
        <v>15.1</v>
      </c>
      <c r="S188" s="662">
        <f>(S197-S187)/10*1+S187</f>
        <v>1678.5451784413642</v>
      </c>
      <c r="T188" s="634">
        <v>15.1</v>
      </c>
      <c r="U188" s="661">
        <f>(U197-U187)/10*1+U187</f>
        <v>1820.7239340597216</v>
      </c>
      <c r="V188" s="631">
        <v>15.1</v>
      </c>
      <c r="W188" s="662">
        <f>(W197-W187)/10*1+W187</f>
        <v>2525.4659404194986</v>
      </c>
      <c r="X188" s="634">
        <v>15.1</v>
      </c>
    </row>
    <row r="189" spans="13:24" hidden="1" x14ac:dyDescent="0.2">
      <c r="M189" s="661">
        <f t="shared" ref="M189" si="667">(M197-M187)/10*2+M187</f>
        <v>857.038721183858</v>
      </c>
      <c r="N189" s="631">
        <v>15.2</v>
      </c>
      <c r="O189" s="662">
        <f t="shared" ref="O189" si="668">(O197-O187)/10*2+O187</f>
        <v>1055.1705243650249</v>
      </c>
      <c r="P189" s="634">
        <v>15.2</v>
      </c>
      <c r="Q189" s="661">
        <f>(Q197-Q187)/10*2+Q187</f>
        <v>1595.7639949510242</v>
      </c>
      <c r="R189" s="631">
        <v>15.2</v>
      </c>
      <c r="S189" s="662">
        <f>(S197-S187)/10*2+S187</f>
        <v>1690.7739331816736</v>
      </c>
      <c r="T189" s="634">
        <v>15.2</v>
      </c>
      <c r="U189" s="661">
        <f>(U197-U187)/10*2+U187</f>
        <v>1837.1840744597594</v>
      </c>
      <c r="V189" s="631">
        <v>15.2</v>
      </c>
      <c r="W189" s="662">
        <f>(W197-W187)/10*2+W187</f>
        <v>2547.4693565678099</v>
      </c>
      <c r="X189" s="634">
        <v>15.2</v>
      </c>
    </row>
    <row r="190" spans="13:24" hidden="1" x14ac:dyDescent="0.2">
      <c r="M190" s="661">
        <f t="shared" ref="M190" si="669">(M197-M187)/10*3+M187</f>
        <v>863.87487574562067</v>
      </c>
      <c r="N190" s="631">
        <v>15.3</v>
      </c>
      <c r="O190" s="662">
        <f t="shared" ref="O190" si="670">(O197-O187)/10*3+O187</f>
        <v>1060.6216048388858</v>
      </c>
      <c r="P190" s="634">
        <v>15.3</v>
      </c>
      <c r="Q190" s="661">
        <f>(Q197-Q187)/10*3+Q187</f>
        <v>1608.3204285221332</v>
      </c>
      <c r="R190" s="631">
        <v>15.3</v>
      </c>
      <c r="S190" s="662">
        <f>(S197-S187)/10*3+S187</f>
        <v>1703.0026879219829</v>
      </c>
      <c r="T190" s="634">
        <v>15.3</v>
      </c>
      <c r="U190" s="661">
        <f>(U197-U187)/10*3+U187</f>
        <v>1853.6442148597971</v>
      </c>
      <c r="V190" s="631">
        <v>15.3</v>
      </c>
      <c r="W190" s="662">
        <f>(W197-W187)/10*3+W187</f>
        <v>2569.4727727161207</v>
      </c>
      <c r="X190" s="634">
        <v>15.3</v>
      </c>
    </row>
    <row r="191" spans="13:24" hidden="1" x14ac:dyDescent="0.2">
      <c r="M191" s="661">
        <f t="shared" ref="M191" si="671">(M197-M187)/10*4+M187</f>
        <v>870.71103030738345</v>
      </c>
      <c r="N191" s="631">
        <v>15.4</v>
      </c>
      <c r="O191" s="662">
        <f t="shared" ref="O191" si="672">(O197-O187)/10*4+O187</f>
        <v>1066.0726853127469</v>
      </c>
      <c r="P191" s="634">
        <v>15.4</v>
      </c>
      <c r="Q191" s="661">
        <f>(Q197-Q187)/10*4+Q187</f>
        <v>1620.8768620932419</v>
      </c>
      <c r="R191" s="631">
        <v>15.4</v>
      </c>
      <c r="S191" s="662">
        <f>(S197-S187)/10*4+S187</f>
        <v>1715.2314426622922</v>
      </c>
      <c r="T191" s="634">
        <v>15.4</v>
      </c>
      <c r="U191" s="661">
        <f>(U197-U187)/10*4+U187</f>
        <v>1870.1043552598346</v>
      </c>
      <c r="V191" s="631">
        <v>15.4</v>
      </c>
      <c r="W191" s="662">
        <f>(W197-W187)/10*4+W187</f>
        <v>2591.4761888644321</v>
      </c>
      <c r="X191" s="634">
        <v>15.4</v>
      </c>
    </row>
    <row r="192" spans="13:24" hidden="1" x14ac:dyDescent="0.2">
      <c r="M192" s="661">
        <f t="shared" ref="M192" si="673">(M197-M187)/10*5+M187</f>
        <v>877.54718486914612</v>
      </c>
      <c r="N192" s="631">
        <v>15.5</v>
      </c>
      <c r="O192" s="662">
        <f t="shared" ref="O192" si="674">(O197-O187)/10*5+O187</f>
        <v>1071.523765786608</v>
      </c>
      <c r="P192" s="634">
        <v>15.5</v>
      </c>
      <c r="Q192" s="661">
        <f>(Q197-Q187)/10*5+Q187</f>
        <v>1633.4332956643507</v>
      </c>
      <c r="R192" s="631">
        <v>15.5</v>
      </c>
      <c r="S192" s="662">
        <f>(S197-S187)/10*5+S187</f>
        <v>1727.4601974026018</v>
      </c>
      <c r="T192" s="634">
        <v>15.5</v>
      </c>
      <c r="U192" s="661">
        <f>(U197-U187)/10*5+U187</f>
        <v>1886.5644956598721</v>
      </c>
      <c r="V192" s="631">
        <v>15.5</v>
      </c>
      <c r="W192" s="662">
        <f>(W197-W187)/10*5+W187</f>
        <v>2613.4796050127434</v>
      </c>
      <c r="X192" s="634">
        <v>15.5</v>
      </c>
    </row>
    <row r="193" spans="13:24" hidden="1" x14ac:dyDescent="0.2">
      <c r="M193" s="661">
        <f t="shared" ref="M193" si="675">(M197-M187)/10*6+M187</f>
        <v>884.38333943090879</v>
      </c>
      <c r="N193" s="631">
        <v>15.6</v>
      </c>
      <c r="O193" s="662">
        <f t="shared" ref="O193" si="676">(O197-O187)/10*6+O187</f>
        <v>1076.9748462604691</v>
      </c>
      <c r="P193" s="634">
        <v>15.6</v>
      </c>
      <c r="Q193" s="661">
        <f>(Q197-Q187)/10*6+Q187</f>
        <v>1645.9897292354594</v>
      </c>
      <c r="R193" s="631">
        <v>15.6</v>
      </c>
      <c r="S193" s="662">
        <f>(S197-S187)/10*6+S187</f>
        <v>1739.6889521429111</v>
      </c>
      <c r="T193" s="634">
        <v>15.6</v>
      </c>
      <c r="U193" s="661">
        <f>(U197-U187)/10*6+U187</f>
        <v>1903.0246360599099</v>
      </c>
      <c r="V193" s="631">
        <v>15.6</v>
      </c>
      <c r="W193" s="662">
        <f>(W197-W187)/10*6+W187</f>
        <v>2635.4830211610547</v>
      </c>
      <c r="X193" s="634">
        <v>15.6</v>
      </c>
    </row>
    <row r="194" spans="13:24" hidden="1" x14ac:dyDescent="0.2">
      <c r="M194" s="661">
        <f t="shared" ref="M194" si="677">(M197-M187)/10*7+M187</f>
        <v>891.21949399267157</v>
      </c>
      <c r="N194" s="631">
        <v>15.7</v>
      </c>
      <c r="O194" s="662">
        <f t="shared" ref="O194" si="678">(O197-O187)/10*7+O187</f>
        <v>1082.4259267343302</v>
      </c>
      <c r="P194" s="634">
        <v>15.7</v>
      </c>
      <c r="Q194" s="661">
        <f>(Q197-Q187)/10*7+Q187</f>
        <v>1658.5461628065682</v>
      </c>
      <c r="R194" s="631">
        <v>15.7</v>
      </c>
      <c r="S194" s="662">
        <f>(S197-S187)/10*7+S187</f>
        <v>1751.9177068832205</v>
      </c>
      <c r="T194" s="634">
        <v>15.7</v>
      </c>
      <c r="U194" s="661">
        <f>(U197-U187)/10*7+U187</f>
        <v>1919.4847764599476</v>
      </c>
      <c r="V194" s="631">
        <v>15.7</v>
      </c>
      <c r="W194" s="662">
        <f>(W197-W187)/10*7+W187</f>
        <v>2657.486437309366</v>
      </c>
      <c r="X194" s="634">
        <v>15.7</v>
      </c>
    </row>
    <row r="195" spans="13:24" hidden="1" x14ac:dyDescent="0.2">
      <c r="M195" s="661">
        <f t="shared" ref="M195" si="679">(M197-M187)/10*8+M187</f>
        <v>898.05564855443424</v>
      </c>
      <c r="N195" s="631">
        <v>15.8</v>
      </c>
      <c r="O195" s="662">
        <f t="shared" ref="O195" si="680">(O197-O187)/10*8+O187</f>
        <v>1087.8770072081911</v>
      </c>
      <c r="P195" s="634">
        <v>15.8</v>
      </c>
      <c r="Q195" s="661">
        <f>(Q197-Q187)/10*8+Q187</f>
        <v>1671.1025963776772</v>
      </c>
      <c r="R195" s="631">
        <v>15.8</v>
      </c>
      <c r="S195" s="662">
        <f>(S197-S187)/10*8+S187</f>
        <v>1764.1464616235298</v>
      </c>
      <c r="T195" s="634">
        <v>15.8</v>
      </c>
      <c r="U195" s="661">
        <f>(U197-U187)/10*8+U187</f>
        <v>1935.9449168599851</v>
      </c>
      <c r="V195" s="631">
        <v>15.8</v>
      </c>
      <c r="W195" s="662">
        <f>(W197-W187)/10*8+W187</f>
        <v>2679.4898534576769</v>
      </c>
      <c r="X195" s="634">
        <v>15.8</v>
      </c>
    </row>
    <row r="196" spans="13:24" hidden="1" x14ac:dyDescent="0.2">
      <c r="M196" s="661">
        <f t="shared" ref="M196" si="681">(M197-M187)/10*9+M187</f>
        <v>904.89180311619702</v>
      </c>
      <c r="N196" s="631">
        <v>15.9</v>
      </c>
      <c r="O196" s="662">
        <f t="shared" ref="O196" si="682">(O197-O187)/10*9+O187</f>
        <v>1093.3280876820522</v>
      </c>
      <c r="P196" s="634">
        <v>15.9</v>
      </c>
      <c r="Q196" s="661">
        <f>(Q197-Q187)/10*9+Q187</f>
        <v>1683.6590299487859</v>
      </c>
      <c r="R196" s="631">
        <v>15.9</v>
      </c>
      <c r="S196" s="662">
        <f>(S197-S187)/10*9+S187</f>
        <v>1776.3752163638392</v>
      </c>
      <c r="T196" s="634">
        <v>15.9</v>
      </c>
      <c r="U196" s="661">
        <f>(U197-U187)/10*9+U187</f>
        <v>1952.4050572600227</v>
      </c>
      <c r="V196" s="631">
        <v>15.9</v>
      </c>
      <c r="W196" s="662">
        <f>(W197-W187)/10*9+W187</f>
        <v>2701.4932696059882</v>
      </c>
      <c r="X196" s="634">
        <v>15.9</v>
      </c>
    </row>
    <row r="197" spans="13:24" hidden="1" x14ac:dyDescent="0.2">
      <c r="M197" s="661">
        <v>911.72795767795969</v>
      </c>
      <c r="N197" s="631">
        <v>16</v>
      </c>
      <c r="O197" s="662">
        <v>1098.7791681559133</v>
      </c>
      <c r="P197" s="634">
        <v>16</v>
      </c>
      <c r="Q197" s="661">
        <v>1696.2154635198947</v>
      </c>
      <c r="R197" s="631">
        <v>16</v>
      </c>
      <c r="S197" s="662">
        <v>1788.6039711041485</v>
      </c>
      <c r="T197" s="634">
        <v>16</v>
      </c>
      <c r="U197" s="661">
        <v>1968.8651976600604</v>
      </c>
      <c r="V197" s="631">
        <v>16</v>
      </c>
      <c r="W197" s="662">
        <v>2723.4966857542995</v>
      </c>
      <c r="X197" s="634">
        <v>16</v>
      </c>
    </row>
    <row r="198" spans="13:24" hidden="1" x14ac:dyDescent="0.2">
      <c r="Q198" s="661">
        <f>(Q207-Q197)/10*1+Q197</f>
        <v>1709.8092183805882</v>
      </c>
      <c r="R198" s="631">
        <v>16.100000000000001</v>
      </c>
      <c r="S198" s="662">
        <f>(S207-S197)/10*1+S197</f>
        <v>1803.3003343986124</v>
      </c>
      <c r="T198" s="634">
        <v>16.100000000000001</v>
      </c>
      <c r="U198" s="661">
        <f>(U207-U197)/10*1+U197</f>
        <v>1985.9805947788745</v>
      </c>
      <c r="V198" s="631">
        <v>16.100000000000001</v>
      </c>
      <c r="W198" s="662">
        <f>(W207-W197)/10*1+W197</f>
        <v>2743.5280143450341</v>
      </c>
      <c r="X198" s="634">
        <v>16.100000000000001</v>
      </c>
    </row>
    <row r="199" spans="13:24" hidden="1" x14ac:dyDescent="0.2">
      <c r="Q199" s="661">
        <f>(Q207-Q197)/10*2+Q197</f>
        <v>1723.4029732412814</v>
      </c>
      <c r="R199" s="631">
        <v>16.2</v>
      </c>
      <c r="S199" s="662">
        <f>(S207-S197)/10*2+S197</f>
        <v>1817.9966976930766</v>
      </c>
      <c r="T199" s="634">
        <v>16.2</v>
      </c>
      <c r="U199" s="661">
        <f>(U207-U197)/10*2+U197</f>
        <v>2003.0959918976887</v>
      </c>
      <c r="V199" s="631">
        <v>16.2</v>
      </c>
      <c r="W199" s="662">
        <f>(W207-W197)/10*2+W197</f>
        <v>2763.5593429357682</v>
      </c>
      <c r="X199" s="634">
        <v>16.2</v>
      </c>
    </row>
    <row r="200" spans="13:24" hidden="1" x14ac:dyDescent="0.2">
      <c r="Q200" s="661">
        <f>(Q207-Q197)/10*3+Q197</f>
        <v>1736.9967281019749</v>
      </c>
      <c r="R200" s="631">
        <v>16.3</v>
      </c>
      <c r="S200" s="662">
        <f>(S207-S197)/10*3+S197</f>
        <v>1832.6930609875405</v>
      </c>
      <c r="T200" s="634">
        <v>16.3</v>
      </c>
      <c r="U200" s="661">
        <f>(U207-U197)/10*3+U197</f>
        <v>2020.2113890165031</v>
      </c>
      <c r="V200" s="631">
        <v>16.3</v>
      </c>
      <c r="W200" s="662">
        <f>(W207-W197)/10*3+W197</f>
        <v>2783.5906715265028</v>
      </c>
      <c r="X200" s="634">
        <v>16.3</v>
      </c>
    </row>
    <row r="201" spans="13:24" hidden="1" x14ac:dyDescent="0.2">
      <c r="Q201" s="661">
        <f>(Q207-Q197)/10*4+Q197</f>
        <v>1750.5904829626684</v>
      </c>
      <c r="R201" s="631">
        <v>16.399999999999999</v>
      </c>
      <c r="S201" s="662">
        <f>(S207-S197)/10*4+S197</f>
        <v>1847.3894242820047</v>
      </c>
      <c r="T201" s="634">
        <v>16.399999999999999</v>
      </c>
      <c r="U201" s="661">
        <f>(U207-U197)/10*4+U197</f>
        <v>2037.3267861353172</v>
      </c>
      <c r="V201" s="631">
        <v>16.399999999999999</v>
      </c>
      <c r="W201" s="662">
        <f>(W207-W197)/10*4+W197</f>
        <v>2803.6220001172369</v>
      </c>
      <c r="X201" s="634">
        <v>16.399999999999999</v>
      </c>
    </row>
    <row r="202" spans="13:24" hidden="1" x14ac:dyDescent="0.2">
      <c r="Q202" s="661">
        <f>(Q207-Q197)/10*5+Q197</f>
        <v>1764.1842378233619</v>
      </c>
      <c r="R202" s="631">
        <v>16.5</v>
      </c>
      <c r="S202" s="662">
        <f>(S207-S197)/10*5+S197</f>
        <v>1862.0857875764686</v>
      </c>
      <c r="T202" s="634">
        <v>16.5</v>
      </c>
      <c r="U202" s="661">
        <f>(U207-U197)/10*5+U197</f>
        <v>2054.4421832541311</v>
      </c>
      <c r="V202" s="631">
        <v>16.5</v>
      </c>
      <c r="W202" s="662">
        <f>(W207-W197)/10*5+W197</f>
        <v>2823.6533287079715</v>
      </c>
      <c r="X202" s="634">
        <v>16.5</v>
      </c>
    </row>
    <row r="203" spans="13:24" hidden="1" x14ac:dyDescent="0.2">
      <c r="Q203" s="661">
        <f>(Q207-Q197)/10*6+Q197</f>
        <v>1777.7779926840551</v>
      </c>
      <c r="R203" s="631">
        <v>16.600000000000001</v>
      </c>
      <c r="S203" s="662">
        <f>(S207-S197)/10*6+S197</f>
        <v>1876.7821508709326</v>
      </c>
      <c r="T203" s="634">
        <v>16.600000000000001</v>
      </c>
      <c r="U203" s="661">
        <f>(U207-U197)/10*6+U197</f>
        <v>2071.5575803729457</v>
      </c>
      <c r="V203" s="631">
        <v>16.600000000000001</v>
      </c>
      <c r="W203" s="662">
        <f>(W207-W197)/10*6+W197</f>
        <v>2843.684657298706</v>
      </c>
      <c r="X203" s="634">
        <v>16.600000000000001</v>
      </c>
    </row>
    <row r="204" spans="13:24" hidden="1" x14ac:dyDescent="0.2">
      <c r="Q204" s="661">
        <f>(Q207-Q197)/10*7+Q197</f>
        <v>1791.3717475447486</v>
      </c>
      <c r="R204" s="631">
        <v>16.7</v>
      </c>
      <c r="S204" s="662">
        <f>(S207-S197)/10*7+S197</f>
        <v>1891.4785141653967</v>
      </c>
      <c r="T204" s="634">
        <v>16.7</v>
      </c>
      <c r="U204" s="661">
        <f>(U207-U197)/10*7+U197</f>
        <v>2088.6729774917599</v>
      </c>
      <c r="V204" s="631">
        <v>16.7</v>
      </c>
      <c r="W204" s="662">
        <f>(W207-W197)/10*7+W197</f>
        <v>2863.7159858894402</v>
      </c>
      <c r="X204" s="634">
        <v>16.7</v>
      </c>
    </row>
    <row r="205" spans="13:24" hidden="1" x14ac:dyDescent="0.2">
      <c r="Q205" s="661">
        <f>(Q207-Q197)/10*8+Q197</f>
        <v>1804.9655024054421</v>
      </c>
      <c r="R205" s="631">
        <v>16.8</v>
      </c>
      <c r="S205" s="662">
        <f>(S207-S197)/10*8+S197</f>
        <v>1906.1748774598607</v>
      </c>
      <c r="T205" s="634">
        <v>16.8</v>
      </c>
      <c r="U205" s="661">
        <f>(U207-U197)/10*8+U197</f>
        <v>2105.788374610574</v>
      </c>
      <c r="V205" s="631">
        <v>16.8</v>
      </c>
      <c r="W205" s="662">
        <f>(W207-W197)/10*8+W197</f>
        <v>2883.7473144801747</v>
      </c>
      <c r="X205" s="634">
        <v>16.8</v>
      </c>
    </row>
    <row r="206" spans="13:24" hidden="1" x14ac:dyDescent="0.2">
      <c r="Q206" s="661">
        <f>(Q207-Q197)/10*9+Q197</f>
        <v>1818.5592572661353</v>
      </c>
      <c r="R206" s="631">
        <v>16.899999999999999</v>
      </c>
      <c r="S206" s="662">
        <f>(S207-S197)/10*9+S197</f>
        <v>1920.8712407543248</v>
      </c>
      <c r="T206" s="634">
        <v>16.899999999999999</v>
      </c>
      <c r="U206" s="661">
        <f>(U207-U197)/10*9+U197</f>
        <v>2122.9037717293882</v>
      </c>
      <c r="V206" s="631">
        <v>16.899999999999999</v>
      </c>
      <c r="W206" s="662">
        <f>(W207-W197)/10*9+W197</f>
        <v>2903.7786430709089</v>
      </c>
      <c r="X206" s="634">
        <v>16.899999999999999</v>
      </c>
    </row>
    <row r="207" spans="13:24" hidden="1" x14ac:dyDescent="0.2">
      <c r="Q207" s="661">
        <v>1832.1530121268288</v>
      </c>
      <c r="R207" s="631">
        <v>17</v>
      </c>
      <c r="S207" s="662">
        <v>1935.5676040487888</v>
      </c>
      <c r="T207" s="634">
        <v>17</v>
      </c>
      <c r="U207" s="661">
        <v>2140.0191688482023</v>
      </c>
      <c r="V207" s="631">
        <v>17</v>
      </c>
      <c r="W207" s="662">
        <v>2923.8099716616434</v>
      </c>
      <c r="X207" s="634">
        <v>17</v>
      </c>
    </row>
    <row r="208" spans="13:24" hidden="1" x14ac:dyDescent="0.2">
      <c r="Q208" s="661">
        <f>(Q217-Q207)/10*1+Q207</f>
        <v>1842.4906341143819</v>
      </c>
      <c r="R208" s="631">
        <v>17.100000000000001</v>
      </c>
      <c r="S208" s="662">
        <f>(S217-S207)/10*1+S207</f>
        <v>1951.0868473425894</v>
      </c>
      <c r="T208" s="634">
        <v>17.100000000000001</v>
      </c>
      <c r="U208" s="661">
        <f>(U217-U207)/10*1+U207</f>
        <v>2158.2217240687933</v>
      </c>
      <c r="V208" s="631">
        <v>17.100000000000001</v>
      </c>
      <c r="W208" s="662">
        <f>(W217-W207)/10*1+W207</f>
        <v>2945.2511813530355</v>
      </c>
      <c r="X208" s="634">
        <v>17.100000000000001</v>
      </c>
    </row>
    <row r="209" spans="17:24" hidden="1" x14ac:dyDescent="0.2">
      <c r="Q209" s="661">
        <f>(Q217-Q207)/10*2+Q207</f>
        <v>1852.8282561019348</v>
      </c>
      <c r="R209" s="631">
        <v>17.2</v>
      </c>
      <c r="S209" s="662">
        <f>(S217-S207)/10*2+S207</f>
        <v>1966.60609063639</v>
      </c>
      <c r="T209" s="634">
        <v>17.2</v>
      </c>
      <c r="U209" s="661">
        <f>(U217-U207)/10*2+U207</f>
        <v>2176.4242792893847</v>
      </c>
      <c r="V209" s="631">
        <v>17.2</v>
      </c>
      <c r="W209" s="662">
        <f>(W217-W207)/10*2+W207</f>
        <v>2966.6923910444275</v>
      </c>
      <c r="X209" s="634">
        <v>17.2</v>
      </c>
    </row>
    <row r="210" spans="17:24" hidden="1" x14ac:dyDescent="0.2">
      <c r="Q210" s="661">
        <f>(Q217-Q207)/10*3+Q207</f>
        <v>1863.1658780894877</v>
      </c>
      <c r="R210" s="631">
        <v>17.3</v>
      </c>
      <c r="S210" s="662">
        <f>(S217-S207)/10*3+S207</f>
        <v>1982.1253339301907</v>
      </c>
      <c r="T210" s="634">
        <v>17.3</v>
      </c>
      <c r="U210" s="661">
        <f>(U217-U207)/10*3+U207</f>
        <v>2194.6268345099761</v>
      </c>
      <c r="V210" s="631">
        <v>17.3</v>
      </c>
      <c r="W210" s="662">
        <f>(W217-W207)/10*3+W207</f>
        <v>2988.1336007358195</v>
      </c>
      <c r="X210" s="634">
        <v>17.3</v>
      </c>
    </row>
    <row r="211" spans="17:24" hidden="1" x14ac:dyDescent="0.2">
      <c r="Q211" s="661">
        <f>(Q217-Q207)/10*4+Q207</f>
        <v>1873.5035000770408</v>
      </c>
      <c r="R211" s="631">
        <v>17.399999999999999</v>
      </c>
      <c r="S211" s="662">
        <f>(S217-S207)/10*4+S207</f>
        <v>1997.6445772239913</v>
      </c>
      <c r="T211" s="634">
        <v>17.399999999999999</v>
      </c>
      <c r="U211" s="661">
        <f>(U217-U207)/10*4+U207</f>
        <v>2212.8293897305671</v>
      </c>
      <c r="V211" s="631">
        <v>17.399999999999999</v>
      </c>
      <c r="W211" s="662">
        <f>(W217-W207)/10*4+W207</f>
        <v>3009.5748104272116</v>
      </c>
      <c r="X211" s="634">
        <v>17.399999999999999</v>
      </c>
    </row>
    <row r="212" spans="17:24" hidden="1" x14ac:dyDescent="0.2">
      <c r="Q212" s="661">
        <f>(Q217-Q207)/10*5+Q207</f>
        <v>1883.8411220645939</v>
      </c>
      <c r="R212" s="631">
        <v>17.5</v>
      </c>
      <c r="S212" s="662">
        <f>(S217-S207)/10*5+S207</f>
        <v>2013.1638205177919</v>
      </c>
      <c r="T212" s="634">
        <v>17.5</v>
      </c>
      <c r="U212" s="661">
        <f>(U217-U207)/10*5+U207</f>
        <v>2231.031944951158</v>
      </c>
      <c r="V212" s="631">
        <v>17.5</v>
      </c>
      <c r="W212" s="662">
        <f>(W217-W207)/10*5+W207</f>
        <v>3031.0160201186036</v>
      </c>
      <c r="X212" s="634">
        <v>17.5</v>
      </c>
    </row>
    <row r="213" spans="17:24" hidden="1" x14ac:dyDescent="0.2">
      <c r="Q213" s="661">
        <f>(Q217-Q207)/10*6+Q207</f>
        <v>1894.1787440521468</v>
      </c>
      <c r="R213" s="631">
        <v>17.600000000000001</v>
      </c>
      <c r="S213" s="662">
        <f>(S217-S207)/10*6+S207</f>
        <v>2028.6830638115925</v>
      </c>
      <c r="T213" s="634">
        <v>17.600000000000001</v>
      </c>
      <c r="U213" s="661">
        <f>(U217-U207)/10*6+U207</f>
        <v>2249.2345001717495</v>
      </c>
      <c r="V213" s="631">
        <v>17.600000000000001</v>
      </c>
      <c r="W213" s="662">
        <f>(W217-W207)/10*6+W207</f>
        <v>3052.4572298099961</v>
      </c>
      <c r="X213" s="634">
        <v>17.600000000000001</v>
      </c>
    </row>
    <row r="214" spans="17:24" hidden="1" x14ac:dyDescent="0.2">
      <c r="Q214" s="661">
        <f>(Q217-Q207)/10*7+Q207</f>
        <v>1904.5163660396997</v>
      </c>
      <c r="R214" s="631">
        <v>17.7</v>
      </c>
      <c r="S214" s="662">
        <f>(S217-S207)/10*7+S207</f>
        <v>2044.2023071053932</v>
      </c>
      <c r="T214" s="634">
        <v>17.7</v>
      </c>
      <c r="U214" s="661">
        <f>(U217-U207)/10*7+U207</f>
        <v>2267.4370553923409</v>
      </c>
      <c r="V214" s="631">
        <v>17.7</v>
      </c>
      <c r="W214" s="662">
        <f>(W217-W207)/10*7+W207</f>
        <v>3073.8984395013881</v>
      </c>
      <c r="X214" s="634">
        <v>17.7</v>
      </c>
    </row>
    <row r="215" spans="17:24" hidden="1" x14ac:dyDescent="0.2">
      <c r="Q215" s="661">
        <f>(Q217-Q207)/10*8+Q207</f>
        <v>1914.8539880272529</v>
      </c>
      <c r="R215" s="631">
        <v>17.8</v>
      </c>
      <c r="S215" s="662">
        <f>(S217-S207)/10*8+S207</f>
        <v>2059.7215503991938</v>
      </c>
      <c r="T215" s="634">
        <v>17.8</v>
      </c>
      <c r="U215" s="661">
        <f>(U217-U207)/10*8+U207</f>
        <v>2285.6396106129318</v>
      </c>
      <c r="V215" s="631">
        <v>17.8</v>
      </c>
      <c r="W215" s="662">
        <f>(W217-W207)/10*8+W207</f>
        <v>3095.3396491927801</v>
      </c>
      <c r="X215" s="634">
        <v>17.8</v>
      </c>
    </row>
    <row r="216" spans="17:24" hidden="1" x14ac:dyDescent="0.2">
      <c r="Q216" s="661">
        <f>(Q217-Q207)/10*9+Q207</f>
        <v>1925.191610014806</v>
      </c>
      <c r="R216" s="631">
        <v>17.899999999999999</v>
      </c>
      <c r="S216" s="662">
        <f>(S217-S207)/10*9+S207</f>
        <v>2075.2407936929944</v>
      </c>
      <c r="T216" s="634">
        <v>17.899999999999999</v>
      </c>
      <c r="U216" s="661">
        <f>(U217-U207)/10*9+U207</f>
        <v>2303.8421658335228</v>
      </c>
      <c r="V216" s="631">
        <v>17.899999999999999</v>
      </c>
      <c r="W216" s="662">
        <f>(W217-W207)/10*9+W207</f>
        <v>3116.7808588841722</v>
      </c>
      <c r="X216" s="634">
        <v>17.899999999999999</v>
      </c>
    </row>
    <row r="217" spans="17:24" hidden="1" x14ac:dyDescent="0.2">
      <c r="Q217" s="661">
        <v>1935.5292320023589</v>
      </c>
      <c r="R217" s="631">
        <v>18</v>
      </c>
      <c r="S217" s="662">
        <v>2090.7600369867951</v>
      </c>
      <c r="T217" s="634">
        <v>18</v>
      </c>
      <c r="U217" s="661">
        <v>2322.0447210541142</v>
      </c>
      <c r="V217" s="631">
        <v>18</v>
      </c>
      <c r="W217" s="662">
        <v>3138.2220685755642</v>
      </c>
      <c r="X217" s="634">
        <v>18</v>
      </c>
    </row>
    <row r="218" spans="17:24" hidden="1" x14ac:dyDescent="0.2">
      <c r="Q218" s="661">
        <f>(Q227-Q217)/10*1+Q217</f>
        <v>1950.4586341950912</v>
      </c>
      <c r="R218" s="631">
        <v>18.100000000000001</v>
      </c>
      <c r="S218" s="662">
        <f>(S227-S217)/10*1+S217</f>
        <v>2100.5994514171498</v>
      </c>
      <c r="T218" s="634">
        <v>18.100000000000001</v>
      </c>
      <c r="U218" s="661">
        <f>(U227-U217)/10*1+U217</f>
        <v>2342.4704021158832</v>
      </c>
      <c r="V218" s="631">
        <v>18.100000000000001</v>
      </c>
      <c r="W218" s="662">
        <f>(W227-W217)/10*1+W217</f>
        <v>3162.5091896368567</v>
      </c>
      <c r="X218" s="634">
        <v>18.100000000000001</v>
      </c>
    </row>
    <row r="219" spans="17:24" hidden="1" x14ac:dyDescent="0.2">
      <c r="Q219" s="661">
        <f>(Q227-Q217)/10*2+Q217</f>
        <v>1965.3880363878238</v>
      </c>
      <c r="R219" s="631">
        <v>18.2</v>
      </c>
      <c r="S219" s="662">
        <f>(S227-S217)/10*2+S217</f>
        <v>2110.4388658475041</v>
      </c>
      <c r="T219" s="634">
        <v>18.2</v>
      </c>
      <c r="U219" s="661">
        <f>(U227-U217)/10*2+U217</f>
        <v>2362.8960831776521</v>
      </c>
      <c r="V219" s="631">
        <v>18.2</v>
      </c>
      <c r="W219" s="662">
        <f>(W227-W217)/10*2+W217</f>
        <v>3186.7963106981492</v>
      </c>
      <c r="X219" s="634">
        <v>18.2</v>
      </c>
    </row>
    <row r="220" spans="17:24" hidden="1" x14ac:dyDescent="0.2">
      <c r="Q220" s="661">
        <f>(Q227-Q217)/10*3+Q217</f>
        <v>1980.3174385805564</v>
      </c>
      <c r="R220" s="631">
        <v>18.3</v>
      </c>
      <c r="S220" s="662">
        <f>(S227-S217)/10*3+S217</f>
        <v>2120.2782802778584</v>
      </c>
      <c r="T220" s="634">
        <v>18.3</v>
      </c>
      <c r="U220" s="661">
        <f>(U227-U217)/10*3+U217</f>
        <v>2383.3217642394216</v>
      </c>
      <c r="V220" s="631">
        <v>18.3</v>
      </c>
      <c r="W220" s="662">
        <f>(W227-W217)/10*3+W217</f>
        <v>3211.0834317594417</v>
      </c>
      <c r="X220" s="634">
        <v>18.3</v>
      </c>
    </row>
    <row r="221" spans="17:24" hidden="1" x14ac:dyDescent="0.2">
      <c r="Q221" s="661">
        <f>(Q227-Q217)/10*4+Q217</f>
        <v>1995.2468407732888</v>
      </c>
      <c r="R221" s="631">
        <v>18.399999999999999</v>
      </c>
      <c r="S221" s="662">
        <f>(S227-S217)/10*4+S217</f>
        <v>2130.1176947082131</v>
      </c>
      <c r="T221" s="634">
        <v>18.399999999999999</v>
      </c>
      <c r="U221" s="661">
        <f>(U227-U217)/10*4+U217</f>
        <v>2403.7474453011905</v>
      </c>
      <c r="V221" s="631">
        <v>18.399999999999999</v>
      </c>
      <c r="W221" s="662">
        <f>(W227-W217)/10*4+W217</f>
        <v>3235.3705528207342</v>
      </c>
      <c r="X221" s="634">
        <v>18.399999999999999</v>
      </c>
    </row>
    <row r="222" spans="17:24" hidden="1" x14ac:dyDescent="0.2">
      <c r="Q222" s="661">
        <f>(Q227-Q217)/10*5+Q217</f>
        <v>2010.1762429660212</v>
      </c>
      <c r="R222" s="631">
        <v>18.5</v>
      </c>
      <c r="S222" s="662">
        <f>(S227-S217)/10*5+S217</f>
        <v>2139.9571091385678</v>
      </c>
      <c r="T222" s="634">
        <v>18.5</v>
      </c>
      <c r="U222" s="661">
        <f>(U227-U217)/10*5+U217</f>
        <v>2424.1731263629595</v>
      </c>
      <c r="V222" s="631">
        <v>18.5</v>
      </c>
      <c r="W222" s="662">
        <f>(W227-W217)/10*5+W217</f>
        <v>3259.6576738820268</v>
      </c>
      <c r="X222" s="634">
        <v>18.5</v>
      </c>
    </row>
    <row r="223" spans="17:24" hidden="1" x14ac:dyDescent="0.2">
      <c r="Q223" s="661">
        <f>(Q227-Q217)/10*6+Q217</f>
        <v>2025.1056451587538</v>
      </c>
      <c r="R223" s="631">
        <v>18.600000000000001</v>
      </c>
      <c r="S223" s="662">
        <f>(S227-S217)/10*6+S217</f>
        <v>2149.7965235689221</v>
      </c>
      <c r="T223" s="634">
        <v>18.600000000000001</v>
      </c>
      <c r="U223" s="661">
        <f>(U227-U217)/10*6+U217</f>
        <v>2444.5988074247284</v>
      </c>
      <c r="V223" s="631">
        <v>18.600000000000001</v>
      </c>
      <c r="W223" s="662">
        <f>(W227-W217)/10*6+W217</f>
        <v>3283.9447949433188</v>
      </c>
      <c r="X223" s="634">
        <v>18.600000000000001</v>
      </c>
    </row>
    <row r="224" spans="17:24" hidden="1" x14ac:dyDescent="0.2">
      <c r="Q224" s="661">
        <f>(Q227-Q217)/10*7+Q217</f>
        <v>2040.0350473514864</v>
      </c>
      <c r="R224" s="631">
        <v>18.7</v>
      </c>
      <c r="S224" s="662">
        <f>(S227-S217)/10*7+S217</f>
        <v>2159.6359379992764</v>
      </c>
      <c r="T224" s="634">
        <v>18.7</v>
      </c>
      <c r="U224" s="661">
        <f>(U227-U217)/10*7+U217</f>
        <v>2465.0244884864974</v>
      </c>
      <c r="V224" s="631">
        <v>18.7</v>
      </c>
      <c r="W224" s="662">
        <f>(W227-W217)/10*7+W217</f>
        <v>3308.2319160046113</v>
      </c>
      <c r="X224" s="634">
        <v>18.7</v>
      </c>
    </row>
    <row r="225" spans="17:24" hidden="1" x14ac:dyDescent="0.2">
      <c r="Q225" s="661">
        <f>(Q227-Q217)/10*8+Q217</f>
        <v>2054.964449544219</v>
      </c>
      <c r="R225" s="631">
        <v>18.8</v>
      </c>
      <c r="S225" s="662">
        <f>(S227-S217)/10*8+S217</f>
        <v>2169.4753524296311</v>
      </c>
      <c r="T225" s="634">
        <v>18.8</v>
      </c>
      <c r="U225" s="661">
        <f>(U227-U217)/10*8+U217</f>
        <v>2485.4501695482668</v>
      </c>
      <c r="V225" s="631">
        <v>18.8</v>
      </c>
      <c r="W225" s="662">
        <f>(W227-W217)/10*8+W217</f>
        <v>3332.5190370659038</v>
      </c>
      <c r="X225" s="634">
        <v>18.8</v>
      </c>
    </row>
    <row r="226" spans="17:24" hidden="1" x14ac:dyDescent="0.2">
      <c r="Q226" s="661">
        <f>(Q227-Q217)/10*9+Q217</f>
        <v>2069.8938517369511</v>
      </c>
      <c r="R226" s="631">
        <v>18.899999999999999</v>
      </c>
      <c r="S226" s="662">
        <f>(S227-S217)/10*9+S217</f>
        <v>2179.3147668599859</v>
      </c>
      <c r="T226" s="634">
        <v>18.899999999999999</v>
      </c>
      <c r="U226" s="661">
        <f>(U227-U217)/10*9+U217</f>
        <v>2505.8758506100357</v>
      </c>
      <c r="V226" s="631">
        <v>18.899999999999999</v>
      </c>
      <c r="W226" s="662">
        <f>(W227-W217)/10*9+W217</f>
        <v>3356.8061581271963</v>
      </c>
      <c r="X226" s="634">
        <v>18.899999999999999</v>
      </c>
    </row>
    <row r="227" spans="17:24" hidden="1" x14ac:dyDescent="0.2">
      <c r="Q227" s="661">
        <v>2084.8232539296837</v>
      </c>
      <c r="R227" s="631">
        <v>19</v>
      </c>
      <c r="S227" s="662">
        <v>2189.1541812903401</v>
      </c>
      <c r="T227" s="634">
        <v>19</v>
      </c>
      <c r="U227" s="661">
        <v>2526.3015316718047</v>
      </c>
      <c r="V227" s="631">
        <v>19</v>
      </c>
      <c r="W227" s="662">
        <v>3381.0932791884889</v>
      </c>
      <c r="X227" s="634">
        <v>19</v>
      </c>
    </row>
  </sheetData>
  <sheetProtection sheet="1" objects="1" scenarios="1"/>
  <mergeCells count="40">
    <mergeCell ref="S35:T35"/>
    <mergeCell ref="U35:V35"/>
    <mergeCell ref="W35:X35"/>
    <mergeCell ref="G35:H35"/>
    <mergeCell ref="I35:J35"/>
    <mergeCell ref="K35:L35"/>
    <mergeCell ref="M35:N35"/>
    <mergeCell ref="O35:P35"/>
    <mergeCell ref="Q35:R35"/>
    <mergeCell ref="B32:C32"/>
    <mergeCell ref="D32:E32"/>
    <mergeCell ref="B33:C33"/>
    <mergeCell ref="D33:E33"/>
    <mergeCell ref="A35:B35"/>
    <mergeCell ref="C35:D35"/>
    <mergeCell ref="E35:F35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A1:I1"/>
    <mergeCell ref="A2:I2"/>
    <mergeCell ref="B21:C21"/>
    <mergeCell ref="D21:E21"/>
    <mergeCell ref="B22:C22"/>
    <mergeCell ref="D22:E22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AE8EF-FB68-4D83-8855-10DF863B379D}">
  <dimension ref="A1:AA72"/>
  <sheetViews>
    <sheetView showGridLines="0" zoomScaleNormal="100" workbookViewId="0">
      <selection activeCell="B5" sqref="B5"/>
    </sheetView>
  </sheetViews>
  <sheetFormatPr defaultColWidth="8.85546875" defaultRowHeight="12.75" x14ac:dyDescent="0.2"/>
  <cols>
    <col min="1" max="1" width="23.7109375" customWidth="1"/>
    <col min="2" max="2" width="14.28515625" customWidth="1"/>
    <col min="3" max="22" width="15.7109375" customWidth="1"/>
  </cols>
  <sheetData>
    <row r="1" spans="1:10" ht="21" thickTop="1" x14ac:dyDescent="0.3">
      <c r="A1" s="880" t="s">
        <v>802</v>
      </c>
      <c r="B1" s="881"/>
      <c r="C1" s="881"/>
      <c r="D1" s="881"/>
      <c r="E1" s="881"/>
      <c r="F1" s="881"/>
      <c r="G1" s="881"/>
      <c r="H1" s="881"/>
      <c r="I1" s="892"/>
      <c r="J1" s="5"/>
    </row>
    <row r="2" spans="1:10" ht="21" thickBot="1" x14ac:dyDescent="0.35">
      <c r="A2" s="889" t="s">
        <v>803</v>
      </c>
      <c r="B2" s="890"/>
      <c r="C2" s="890"/>
      <c r="D2" s="890"/>
      <c r="E2" s="890"/>
      <c r="F2" s="890"/>
      <c r="G2" s="890"/>
      <c r="H2" s="890"/>
      <c r="I2" s="891"/>
      <c r="J2" s="5"/>
    </row>
    <row r="3" spans="1:10" ht="13.5" thickTop="1" x14ac:dyDescent="0.2">
      <c r="A3" s="20"/>
      <c r="B3" s="50"/>
      <c r="C3" s="50"/>
      <c r="D3" s="21"/>
      <c r="E3" s="21"/>
      <c r="F3" s="21"/>
      <c r="G3" s="21"/>
      <c r="H3" s="21"/>
      <c r="I3" s="22"/>
    </row>
    <row r="4" spans="1:10" x14ac:dyDescent="0.2">
      <c r="A4" s="24"/>
      <c r="B4" s="19" t="s">
        <v>25</v>
      </c>
      <c r="I4" s="23"/>
    </row>
    <row r="5" spans="1:10" x14ac:dyDescent="0.2">
      <c r="A5" s="703" t="s">
        <v>804</v>
      </c>
      <c r="B5" s="704">
        <v>10</v>
      </c>
      <c r="C5" s="26" t="s">
        <v>805</v>
      </c>
      <c r="I5" s="23"/>
    </row>
    <row r="6" spans="1:10" x14ac:dyDescent="0.2">
      <c r="A6" s="703" t="s">
        <v>806</v>
      </c>
      <c r="B6" s="704">
        <v>2</v>
      </c>
      <c r="C6" s="26"/>
      <c r="F6" s="25"/>
      <c r="I6" s="23"/>
    </row>
    <row r="7" spans="1:10" x14ac:dyDescent="0.2">
      <c r="A7" s="24"/>
      <c r="F7" s="25"/>
      <c r="I7" s="23"/>
    </row>
    <row r="8" spans="1:10" x14ac:dyDescent="0.2">
      <c r="A8" s="24"/>
      <c r="F8" s="25"/>
      <c r="I8" s="23"/>
    </row>
    <row r="9" spans="1:10" x14ac:dyDescent="0.2">
      <c r="A9" s="24"/>
      <c r="F9" s="25"/>
      <c r="I9" s="23"/>
    </row>
    <row r="10" spans="1:10" x14ac:dyDescent="0.2">
      <c r="A10" s="24"/>
      <c r="I10" s="23"/>
    </row>
    <row r="11" spans="1:10" x14ac:dyDescent="0.2">
      <c r="A11" s="24"/>
      <c r="I11" s="23"/>
    </row>
    <row r="12" spans="1:10" x14ac:dyDescent="0.2">
      <c r="A12" s="24"/>
      <c r="I12" s="23"/>
    </row>
    <row r="13" spans="1:10" ht="13.5" thickBot="1" x14ac:dyDescent="0.25">
      <c r="A13" s="24"/>
      <c r="I13" s="23"/>
    </row>
    <row r="14" spans="1:10" ht="13.5" thickTop="1" x14ac:dyDescent="0.2">
      <c r="A14" s="893" t="s">
        <v>24</v>
      </c>
      <c r="B14" s="888" t="s">
        <v>60</v>
      </c>
      <c r="C14" s="888"/>
      <c r="D14" s="705" t="s">
        <v>807</v>
      </c>
      <c r="I14" s="23"/>
    </row>
    <row r="15" spans="1:10" x14ac:dyDescent="0.2">
      <c r="A15" s="959"/>
      <c r="B15" s="1120" t="s">
        <v>55</v>
      </c>
      <c r="C15" s="950"/>
      <c r="D15" s="706" t="s">
        <v>55</v>
      </c>
      <c r="I15" s="23"/>
    </row>
    <row r="16" spans="1:10" x14ac:dyDescent="0.2">
      <c r="A16" s="707" t="s">
        <v>165</v>
      </c>
      <c r="B16" s="1118" t="s">
        <v>546</v>
      </c>
      <c r="C16" s="1119"/>
      <c r="D16" s="708">
        <f>IF($B$6&lt;0.5,"NOT POSSIBLE",IF($B$6&gt;4,"NOT POSSIBLE",((VLOOKUP($B$6,A32:B50,2)))*(($B$5/100)^0.5)*1000))</f>
        <v>87.595091186664121</v>
      </c>
      <c r="I16" s="23"/>
    </row>
    <row r="17" spans="1:14" x14ac:dyDescent="0.2">
      <c r="A17" s="709" t="s">
        <v>166</v>
      </c>
      <c r="B17" s="1120" t="s">
        <v>547</v>
      </c>
      <c r="C17" s="950"/>
      <c r="D17" s="708">
        <f>IF($B$6&lt;0.6,"NOT POSSIBLE",IF($B$6&gt;4,"NOT POSSIBLE",((VLOOKUP($B$6,C32:D50,2)))*(($B$5/100)^0.5)*1000))</f>
        <v>137.87530598334132</v>
      </c>
      <c r="I17" s="23"/>
      <c r="N17" s="710"/>
    </row>
    <row r="18" spans="1:14" x14ac:dyDescent="0.2">
      <c r="A18" s="707" t="s">
        <v>167</v>
      </c>
      <c r="B18" s="1118" t="s">
        <v>546</v>
      </c>
      <c r="C18" s="1119"/>
      <c r="D18" s="708">
        <f>IF($B$6&lt;0.6,"NOT POSSIBLE",IF($B$6&gt;4,"NOT POSSIBLE",((VLOOKUP($B$6,A32:B50,2)))*(($B$5/100)^0.5)*1000))</f>
        <v>87.595091186664121</v>
      </c>
      <c r="I18" s="23"/>
      <c r="N18" s="710"/>
    </row>
    <row r="19" spans="1:14" x14ac:dyDescent="0.2">
      <c r="A19" s="709" t="s">
        <v>168</v>
      </c>
      <c r="B19" s="1120" t="s">
        <v>547</v>
      </c>
      <c r="C19" s="950"/>
      <c r="D19" s="708">
        <f>IF($B$6&lt;0.6,"NOT POSSIBLE",IF($B$6&gt;4,"NOT POSSIBLE",((VLOOKUP($B$6,C32:D50,2)))*(($B$5/100)^0.5)*1000))</f>
        <v>137.87530598334132</v>
      </c>
      <c r="I19" s="23"/>
      <c r="N19" s="710"/>
    </row>
    <row r="20" spans="1:14" x14ac:dyDescent="0.2">
      <c r="A20" s="707" t="s">
        <v>169</v>
      </c>
      <c r="B20" s="1118" t="s">
        <v>548</v>
      </c>
      <c r="C20" s="1119"/>
      <c r="D20" s="708">
        <f>IF($B$6&lt;0.6,"NOT POSSIBLE",IF($B$6&gt;4,"NOT POSSIBLE",((VLOOKUP($B$6,E32:F50,2)))*(($B$5/100)^0.5)*1000))</f>
        <v>225.47039717000544</v>
      </c>
      <c r="I20" s="23"/>
    </row>
    <row r="21" spans="1:14" x14ac:dyDescent="0.2">
      <c r="A21" s="709" t="s">
        <v>558</v>
      </c>
      <c r="B21" s="1120" t="s">
        <v>550</v>
      </c>
      <c r="C21" s="950"/>
      <c r="D21" s="708">
        <f>IF($B$6&lt;0.6,"NOT POSSIBLE",IF($B$6&gt;4,"NOT POSSIBLE",((VLOOKUP($B$6,G32:H50,2)))*(($B$5/100)^0.5)*1000))</f>
        <v>540.74947988879285</v>
      </c>
      <c r="I21" s="23"/>
    </row>
    <row r="22" spans="1:14" x14ac:dyDescent="0.2">
      <c r="A22" s="711" t="s">
        <v>170</v>
      </c>
      <c r="B22" s="1121" t="s">
        <v>548</v>
      </c>
      <c r="C22" s="1122"/>
      <c r="D22" s="708">
        <f>IF($B$6&lt;0.6,"NOT POSSIBLE",IF($B$6&gt;4,"NOT POSSIBLE",((VLOOKUP($B$6,E32:F50,2)))*(($B$5/100)^0.5)*1000))</f>
        <v>225.47039717000544</v>
      </c>
      <c r="I22" s="23"/>
    </row>
    <row r="23" spans="1:14" x14ac:dyDescent="0.2">
      <c r="A23" s="709" t="s">
        <v>172</v>
      </c>
      <c r="B23" s="1120" t="s">
        <v>550</v>
      </c>
      <c r="C23" s="950"/>
      <c r="D23" s="708">
        <f>IF($B$6&lt;0.6,"NOT POSSIBLE",IF($B$6&gt;4,"NOT POSSIBLE",((VLOOKUP($B$6,G32:H50,2)))*(($B$5/100)^0.5)*1000))</f>
        <v>540.74947988879285</v>
      </c>
      <c r="I23" s="23"/>
    </row>
    <row r="24" spans="1:14" x14ac:dyDescent="0.2">
      <c r="A24" s="711" t="s">
        <v>588</v>
      </c>
      <c r="B24" s="1121" t="s">
        <v>591</v>
      </c>
      <c r="C24" s="1122"/>
      <c r="D24" s="708">
        <f>IF($B$6&lt;0.6,"NOT POSSIBLE",IF($B$6&gt;4,"NOT POSSIBLE",((VLOOKUP($B$6,I32:J50,2)))*(($B$5/100)^0.5)*1000))</f>
        <v>635.61780969384415</v>
      </c>
      <c r="I24" s="23"/>
    </row>
    <row r="25" spans="1:14" x14ac:dyDescent="0.2">
      <c r="A25" s="709" t="s">
        <v>589</v>
      </c>
      <c r="B25" s="1120" t="s">
        <v>592</v>
      </c>
      <c r="C25" s="950"/>
      <c r="D25" s="708">
        <f>IF($B$6&lt;0.6,"NOT POSSIBLE",IF($B$6&gt;4,"NOT POSSIBLE",((VLOOKUP($B$6,K32:L50,2)))*(($B$5/100)^0.5)*1000))</f>
        <v>594.50820011165524</v>
      </c>
      <c r="I25" s="23"/>
    </row>
    <row r="26" spans="1:14" x14ac:dyDescent="0.2">
      <c r="A26" s="711" t="s">
        <v>590</v>
      </c>
      <c r="B26" s="1121" t="s">
        <v>556</v>
      </c>
      <c r="C26" s="1122"/>
      <c r="D26" s="708">
        <f>IF($B$6&lt;0.6,"NOT POSSIBLE",IF($B$6&gt;4,"NOT POSSIBLE",((VLOOKUP($B$6,A54:B71,2)))*(($B$5/100)^0.5)*1000))</f>
        <v>1268.073341728335</v>
      </c>
      <c r="I26" s="23"/>
    </row>
    <row r="27" spans="1:14" x14ac:dyDescent="0.2">
      <c r="A27" s="709" t="s">
        <v>50</v>
      </c>
      <c r="B27" s="1120" t="s">
        <v>557</v>
      </c>
      <c r="C27" s="950"/>
      <c r="D27" s="708">
        <f>IF($B$6&lt;0.6,"NOT POSSIBLE",IF($B$6&gt;4,"NOT POSSIBLE",((VLOOKUP($B$6,C54:D71,2)))*(($B$5/100)^0.5)*1000))</f>
        <v>1290.2092853478953</v>
      </c>
      <c r="I27" s="23"/>
    </row>
    <row r="28" spans="1:14" ht="13.5" customHeight="1" x14ac:dyDescent="0.2">
      <c r="A28" s="711" t="s">
        <v>51</v>
      </c>
      <c r="B28" s="1121" t="s">
        <v>566</v>
      </c>
      <c r="C28" s="1122"/>
      <c r="D28" s="708">
        <f>IF($B$6&lt;0.6,"NOT POSSIBLE",IF($B$6&gt;4,"NOT POSSIBLE",((VLOOKUP($B$6,E54:F71,2)))*(($B$5/100)^0.5)*1000))</f>
        <v>3794.7331922000608</v>
      </c>
      <c r="I28" s="23"/>
    </row>
    <row r="29" spans="1:14" ht="13.5" customHeight="1" thickBot="1" x14ac:dyDescent="0.25">
      <c r="A29" s="712" t="s">
        <v>52</v>
      </c>
      <c r="B29" s="1123" t="s">
        <v>567</v>
      </c>
      <c r="C29" s="953"/>
      <c r="D29" s="713">
        <f>IF($B$6&lt;0.6,"NOT POSSIBLE",IF($B$6&gt;4,"NOT POSSIBLE",((VLOOKUP($B$6,G54:H71,2)))*(($B$5/100)^0.5)*1000))</f>
        <v>3668.2420857928714</v>
      </c>
      <c r="E29" s="30"/>
      <c r="F29" s="30"/>
      <c r="G29" s="30"/>
      <c r="H29" s="30"/>
      <c r="I29" s="31"/>
    </row>
    <row r="30" spans="1:14" ht="13.5" hidden="1" thickTop="1" x14ac:dyDescent="0.2">
      <c r="A30" s="1124" t="s">
        <v>808</v>
      </c>
      <c r="B30" s="1125"/>
      <c r="C30" s="1124" t="s">
        <v>809</v>
      </c>
      <c r="D30" s="1125"/>
      <c r="E30" s="1124" t="s">
        <v>810</v>
      </c>
      <c r="F30" s="1125"/>
      <c r="G30" s="1124" t="s">
        <v>811</v>
      </c>
      <c r="H30" s="1125"/>
      <c r="I30" s="1124" t="s">
        <v>812</v>
      </c>
      <c r="J30" s="1113"/>
      <c r="K30" s="1126" t="s">
        <v>813</v>
      </c>
      <c r="L30" s="1113"/>
    </row>
    <row r="31" spans="1:14" ht="13.5" hidden="1" thickTop="1" x14ac:dyDescent="0.2">
      <c r="A31" s="714" t="s">
        <v>790</v>
      </c>
      <c r="B31" s="715" t="s">
        <v>753</v>
      </c>
      <c r="C31" s="714" t="s">
        <v>790</v>
      </c>
      <c r="D31" s="715" t="s">
        <v>753</v>
      </c>
      <c r="E31" s="714" t="s">
        <v>790</v>
      </c>
      <c r="F31" s="715" t="s">
        <v>753</v>
      </c>
      <c r="G31" s="714" t="s">
        <v>790</v>
      </c>
      <c r="H31" s="715" t="s">
        <v>753</v>
      </c>
      <c r="I31" s="714" t="s">
        <v>790</v>
      </c>
      <c r="J31" s="715" t="s">
        <v>753</v>
      </c>
      <c r="K31" s="714" t="s">
        <v>790</v>
      </c>
      <c r="L31" s="715" t="s">
        <v>753</v>
      </c>
    </row>
    <row r="32" spans="1:14" ht="13.5" hidden="1" thickTop="1" x14ac:dyDescent="0.2">
      <c r="A32" s="714">
        <v>0.5</v>
      </c>
      <c r="B32" s="716">
        <v>0.121</v>
      </c>
      <c r="C32" s="714"/>
      <c r="D32" s="715"/>
      <c r="E32" s="714"/>
      <c r="F32" s="715"/>
      <c r="G32" s="714"/>
      <c r="H32" s="715"/>
      <c r="I32" s="714"/>
      <c r="J32" s="715"/>
      <c r="K32" s="717"/>
      <c r="L32" s="718"/>
    </row>
    <row r="33" spans="1:12" ht="13.5" hidden="1" thickTop="1" x14ac:dyDescent="0.2">
      <c r="A33" s="714">
        <v>0.6</v>
      </c>
      <c r="B33" s="716">
        <v>0.124</v>
      </c>
      <c r="C33" s="714">
        <v>0.6</v>
      </c>
      <c r="D33" s="716">
        <v>0.13400000000000001</v>
      </c>
      <c r="E33" s="714">
        <v>0.6</v>
      </c>
      <c r="F33" s="716">
        <v>0.25</v>
      </c>
      <c r="G33" s="714">
        <v>0.6</v>
      </c>
      <c r="H33" s="716">
        <v>0.59499999999999997</v>
      </c>
      <c r="I33" s="714">
        <v>0.6</v>
      </c>
      <c r="J33" s="716">
        <v>0.67500000000000004</v>
      </c>
      <c r="K33" s="714">
        <v>0.6</v>
      </c>
      <c r="L33" s="716">
        <v>0.64700000000000002</v>
      </c>
    </row>
    <row r="34" spans="1:12" ht="13.5" hidden="1" thickTop="1" x14ac:dyDescent="0.2">
      <c r="A34" s="714">
        <v>0.8</v>
      </c>
      <c r="B34" s="716">
        <v>0.13600000000000001</v>
      </c>
      <c r="C34" s="714">
        <v>0.8</v>
      </c>
      <c r="D34" s="716">
        <v>0.184</v>
      </c>
      <c r="E34" s="714">
        <v>0.8</v>
      </c>
      <c r="F34" s="716">
        <v>0.314</v>
      </c>
      <c r="G34" s="714">
        <v>0.8</v>
      </c>
      <c r="H34" s="716">
        <v>0.755</v>
      </c>
      <c r="I34" s="714">
        <v>0.8</v>
      </c>
      <c r="J34" s="716">
        <v>0.84899999999999998</v>
      </c>
      <c r="K34" s="714">
        <v>0.8</v>
      </c>
      <c r="L34" s="716">
        <v>0.77</v>
      </c>
    </row>
    <row r="35" spans="1:12" ht="13.5" hidden="1" thickTop="1" x14ac:dyDescent="0.2">
      <c r="A35" s="714">
        <v>1</v>
      </c>
      <c r="B35" s="716">
        <v>0.153</v>
      </c>
      <c r="C35" s="714">
        <v>1</v>
      </c>
      <c r="D35" s="716">
        <v>0.23100000000000001</v>
      </c>
      <c r="E35" s="714">
        <v>1</v>
      </c>
      <c r="F35" s="716">
        <v>0.378</v>
      </c>
      <c r="G35" s="714">
        <v>1</v>
      </c>
      <c r="H35" s="716">
        <v>0.91300000000000003</v>
      </c>
      <c r="I35" s="714">
        <v>1</v>
      </c>
      <c r="J35" s="716">
        <v>1.03</v>
      </c>
      <c r="K35" s="714">
        <v>1</v>
      </c>
      <c r="L35" s="716">
        <v>0.91600000000000004</v>
      </c>
    </row>
    <row r="36" spans="1:12" ht="13.5" hidden="1" thickTop="1" x14ac:dyDescent="0.2">
      <c r="A36" s="714">
        <v>1.2</v>
      </c>
      <c r="B36" s="716">
        <v>0.17399999999999999</v>
      </c>
      <c r="C36" s="714">
        <v>1.2</v>
      </c>
      <c r="D36" s="716">
        <v>0.27500000000000002</v>
      </c>
      <c r="E36" s="714">
        <v>1.2</v>
      </c>
      <c r="F36" s="716">
        <v>0.442</v>
      </c>
      <c r="G36" s="714">
        <v>1.2</v>
      </c>
      <c r="H36" s="716">
        <v>1.07</v>
      </c>
      <c r="I36" s="714">
        <v>1.2</v>
      </c>
      <c r="J36" s="716">
        <v>1.22</v>
      </c>
      <c r="K36" s="714">
        <v>1.2</v>
      </c>
      <c r="L36" s="716">
        <v>1.08</v>
      </c>
    </row>
    <row r="37" spans="1:12" ht="13.5" hidden="1" thickTop="1" x14ac:dyDescent="0.2">
      <c r="A37" s="714">
        <v>1.4</v>
      </c>
      <c r="B37" s="716">
        <v>0.19800000000000001</v>
      </c>
      <c r="C37" s="714">
        <v>1.4</v>
      </c>
      <c r="D37" s="716">
        <v>0.317</v>
      </c>
      <c r="E37" s="714">
        <v>1.4</v>
      </c>
      <c r="F37" s="716">
        <v>0.50700000000000001</v>
      </c>
      <c r="G37" s="714">
        <v>1.4</v>
      </c>
      <c r="H37" s="716">
        <v>1.23</v>
      </c>
      <c r="I37" s="714">
        <v>1.4</v>
      </c>
      <c r="J37" s="716">
        <v>1.41</v>
      </c>
      <c r="K37" s="714">
        <v>1.4</v>
      </c>
      <c r="L37" s="716">
        <v>1.26</v>
      </c>
    </row>
    <row r="38" spans="1:12" ht="13.5" hidden="1" thickTop="1" x14ac:dyDescent="0.2">
      <c r="A38" s="714">
        <v>1.6</v>
      </c>
      <c r="B38" s="716">
        <v>0.224</v>
      </c>
      <c r="C38" s="714">
        <v>1.6</v>
      </c>
      <c r="D38" s="716">
        <v>0.35699999999999998</v>
      </c>
      <c r="E38" s="714">
        <v>1.6</v>
      </c>
      <c r="F38" s="716">
        <v>0.57399999999999995</v>
      </c>
      <c r="G38" s="714">
        <v>1.6</v>
      </c>
      <c r="H38" s="716">
        <v>1.39</v>
      </c>
      <c r="I38" s="714">
        <v>1.6</v>
      </c>
      <c r="J38" s="716">
        <v>1.61</v>
      </c>
      <c r="K38" s="714">
        <v>1.6</v>
      </c>
      <c r="L38" s="716">
        <v>1.46</v>
      </c>
    </row>
    <row r="39" spans="1:12" ht="13.5" hidden="1" thickTop="1" x14ac:dyDescent="0.2">
      <c r="A39" s="714">
        <v>1.8</v>
      </c>
      <c r="B39" s="716">
        <v>0.25</v>
      </c>
      <c r="C39" s="714">
        <v>1.8</v>
      </c>
      <c r="D39" s="716">
        <v>0.39700000000000002</v>
      </c>
      <c r="E39" s="714">
        <v>1.8</v>
      </c>
      <c r="F39" s="716">
        <v>0.64200000000000002</v>
      </c>
      <c r="G39" s="714">
        <v>1.8</v>
      </c>
      <c r="H39" s="716">
        <v>1.55</v>
      </c>
      <c r="I39" s="714">
        <v>1.8</v>
      </c>
      <c r="J39" s="716">
        <v>1.81</v>
      </c>
      <c r="K39" s="714">
        <v>1.8</v>
      </c>
      <c r="L39" s="716">
        <v>1.66</v>
      </c>
    </row>
    <row r="40" spans="1:12" ht="13.5" hidden="1" thickTop="1" x14ac:dyDescent="0.2">
      <c r="A40" s="714">
        <v>2</v>
      </c>
      <c r="B40" s="716">
        <v>0.27700000000000002</v>
      </c>
      <c r="C40" s="714">
        <v>2</v>
      </c>
      <c r="D40" s="716">
        <v>0.436</v>
      </c>
      <c r="E40" s="714">
        <v>2</v>
      </c>
      <c r="F40" s="716">
        <v>0.71299999999999997</v>
      </c>
      <c r="G40" s="714">
        <v>2</v>
      </c>
      <c r="H40" s="716">
        <v>1.71</v>
      </c>
      <c r="I40" s="714">
        <v>2</v>
      </c>
      <c r="J40" s="716">
        <v>2.0099999999999998</v>
      </c>
      <c r="K40" s="714">
        <v>2</v>
      </c>
      <c r="L40" s="716">
        <v>1.88</v>
      </c>
    </row>
    <row r="41" spans="1:12" ht="13.5" hidden="1" thickTop="1" x14ac:dyDescent="0.2">
      <c r="A41" s="714">
        <v>2.2000000000000002</v>
      </c>
      <c r="B41" s="716">
        <v>0.30299999999999999</v>
      </c>
      <c r="C41" s="714">
        <v>2.2000000000000002</v>
      </c>
      <c r="D41" s="716">
        <v>0.47499999999999998</v>
      </c>
      <c r="E41" s="714">
        <v>2.2000000000000002</v>
      </c>
      <c r="F41" s="716">
        <v>0.78600000000000003</v>
      </c>
      <c r="G41" s="714">
        <v>2.2000000000000002</v>
      </c>
      <c r="H41" s="716">
        <v>1.88</v>
      </c>
      <c r="I41" s="714">
        <v>2.2000000000000002</v>
      </c>
      <c r="J41" s="716">
        <v>2.21</v>
      </c>
      <c r="K41" s="714">
        <v>2.2000000000000002</v>
      </c>
      <c r="L41" s="716">
        <v>2.09</v>
      </c>
    </row>
    <row r="42" spans="1:12" ht="13.5" hidden="1" thickTop="1" x14ac:dyDescent="0.2">
      <c r="A42" s="714">
        <v>2.4</v>
      </c>
      <c r="B42" s="716">
        <v>0.32800000000000001</v>
      </c>
      <c r="C42" s="714">
        <v>2.4</v>
      </c>
      <c r="D42" s="716">
        <v>0.51500000000000001</v>
      </c>
      <c r="E42" s="714">
        <v>2.4</v>
      </c>
      <c r="F42" s="716">
        <v>0.86</v>
      </c>
      <c r="G42" s="714">
        <v>2.4</v>
      </c>
      <c r="H42" s="716">
        <v>2.04</v>
      </c>
      <c r="I42" s="714">
        <v>2.4</v>
      </c>
      <c r="J42" s="716">
        <v>2.41</v>
      </c>
      <c r="K42" s="714">
        <v>2.4</v>
      </c>
      <c r="L42" s="716">
        <v>2.31</v>
      </c>
    </row>
    <row r="43" spans="1:12" ht="13.5" hidden="1" thickTop="1" x14ac:dyDescent="0.2">
      <c r="A43" s="714">
        <v>2.6</v>
      </c>
      <c r="B43" s="716">
        <v>0.35199999999999998</v>
      </c>
      <c r="C43" s="714">
        <v>2.6</v>
      </c>
      <c r="D43" s="716">
        <v>0.55500000000000005</v>
      </c>
      <c r="E43" s="714">
        <v>2.6</v>
      </c>
      <c r="F43" s="716">
        <v>0.93600000000000005</v>
      </c>
      <c r="G43" s="714">
        <v>2.6</v>
      </c>
      <c r="H43" s="716">
        <v>2.21</v>
      </c>
      <c r="I43" s="714">
        <v>2.6</v>
      </c>
      <c r="J43" s="716">
        <v>2.61</v>
      </c>
      <c r="K43" s="714">
        <v>2.6</v>
      </c>
      <c r="L43" s="716">
        <v>2.52</v>
      </c>
    </row>
    <row r="44" spans="1:12" ht="13.5" hidden="1" thickTop="1" x14ac:dyDescent="0.2">
      <c r="A44" s="714">
        <v>2.8</v>
      </c>
      <c r="B44" s="716">
        <v>0.375</v>
      </c>
      <c r="C44" s="714">
        <v>2.8</v>
      </c>
      <c r="D44" s="716">
        <v>0.59499999999999997</v>
      </c>
      <c r="E44" s="714">
        <v>2.8</v>
      </c>
      <c r="F44" s="716">
        <v>1.01</v>
      </c>
      <c r="G44" s="714">
        <v>2.8</v>
      </c>
      <c r="H44" s="716">
        <v>2.38</v>
      </c>
      <c r="I44" s="714">
        <v>2.8</v>
      </c>
      <c r="J44" s="716">
        <v>2.8</v>
      </c>
      <c r="K44" s="714">
        <v>2.8</v>
      </c>
      <c r="L44" s="716">
        <v>2.73</v>
      </c>
    </row>
    <row r="45" spans="1:12" ht="13.5" hidden="1" thickTop="1" x14ac:dyDescent="0.2">
      <c r="A45" s="714">
        <v>3</v>
      </c>
      <c r="B45" s="719">
        <v>0.39700000000000002</v>
      </c>
      <c r="C45" s="714">
        <v>3</v>
      </c>
      <c r="D45" s="716">
        <v>0.63600000000000001</v>
      </c>
      <c r="E45" s="714">
        <v>3</v>
      </c>
      <c r="F45" s="716">
        <v>1.0900000000000001</v>
      </c>
      <c r="G45" s="714">
        <v>3</v>
      </c>
      <c r="H45" s="716">
        <v>2.5499999999999998</v>
      </c>
      <c r="I45" s="714">
        <v>3</v>
      </c>
      <c r="J45" s="716">
        <v>2.99</v>
      </c>
      <c r="K45" s="714">
        <v>3</v>
      </c>
      <c r="L45" s="716">
        <v>2.93</v>
      </c>
    </row>
    <row r="46" spans="1:12" ht="13.5" hidden="1" thickTop="1" x14ac:dyDescent="0.2">
      <c r="A46" s="714">
        <v>3.2</v>
      </c>
      <c r="B46" s="716">
        <v>0.41799999999999998</v>
      </c>
      <c r="C46" s="714">
        <v>3.2</v>
      </c>
      <c r="D46" s="716">
        <v>0.67700000000000005</v>
      </c>
      <c r="E46" s="714">
        <v>3.2</v>
      </c>
      <c r="F46" s="716">
        <v>1.17</v>
      </c>
      <c r="G46" s="714">
        <v>3.2</v>
      </c>
      <c r="H46" s="716">
        <v>2.72</v>
      </c>
      <c r="I46" s="714">
        <v>3.2</v>
      </c>
      <c r="J46" s="716">
        <v>3.17</v>
      </c>
      <c r="K46" s="714">
        <v>3.2</v>
      </c>
      <c r="L46" s="716">
        <v>3.13</v>
      </c>
    </row>
    <row r="47" spans="1:12" ht="13.5" hidden="1" thickTop="1" x14ac:dyDescent="0.2">
      <c r="A47" s="714">
        <v>3.4</v>
      </c>
      <c r="B47" s="716">
        <v>0.439</v>
      </c>
      <c r="C47" s="714">
        <v>3.4</v>
      </c>
      <c r="D47" s="716">
        <v>0.71799999999999997</v>
      </c>
      <c r="E47" s="714">
        <v>3.4</v>
      </c>
      <c r="F47" s="716">
        <v>1.24</v>
      </c>
      <c r="G47" s="714">
        <v>3.4</v>
      </c>
      <c r="H47" s="716">
        <v>2.88</v>
      </c>
      <c r="I47" s="714">
        <v>3.4</v>
      </c>
      <c r="J47" s="716">
        <v>3.34</v>
      </c>
      <c r="K47" s="714">
        <v>3.4</v>
      </c>
      <c r="L47" s="716">
        <v>3.32</v>
      </c>
    </row>
    <row r="48" spans="1:12" ht="13.5" hidden="1" thickTop="1" x14ac:dyDescent="0.2">
      <c r="A48" s="714">
        <v>3.6</v>
      </c>
      <c r="B48" s="716">
        <v>0.46</v>
      </c>
      <c r="C48" s="714">
        <v>3.6</v>
      </c>
      <c r="D48" s="716">
        <v>0.76</v>
      </c>
      <c r="E48" s="714">
        <v>3.6</v>
      </c>
      <c r="F48" s="716">
        <v>1.31</v>
      </c>
      <c r="G48" s="714">
        <v>3.6</v>
      </c>
      <c r="H48" s="716">
        <v>3.03</v>
      </c>
      <c r="I48" s="714">
        <v>3.6</v>
      </c>
      <c r="J48" s="716">
        <v>3.51</v>
      </c>
      <c r="K48" s="714">
        <v>3.6</v>
      </c>
      <c r="L48" s="716">
        <v>3.49</v>
      </c>
    </row>
    <row r="49" spans="1:27" ht="13.5" hidden="1" thickTop="1" x14ac:dyDescent="0.2">
      <c r="A49" s="714">
        <v>3.8</v>
      </c>
      <c r="B49" s="716">
        <v>0.48199999999999998</v>
      </c>
      <c r="C49" s="714">
        <v>3.8</v>
      </c>
      <c r="D49" s="716">
        <v>0.8</v>
      </c>
      <c r="E49" s="714">
        <v>3.8</v>
      </c>
      <c r="F49" s="716">
        <v>1.38</v>
      </c>
      <c r="G49" s="714">
        <v>3.8</v>
      </c>
      <c r="H49" s="716">
        <v>3.18</v>
      </c>
      <c r="I49" s="714">
        <v>3.8</v>
      </c>
      <c r="J49" s="716">
        <v>3.66</v>
      </c>
      <c r="K49" s="714">
        <v>3.8</v>
      </c>
      <c r="L49" s="716">
        <v>3.65</v>
      </c>
    </row>
    <row r="50" spans="1:27" ht="14.25" hidden="1" thickTop="1" thickBot="1" x14ac:dyDescent="0.25">
      <c r="A50" s="720">
        <v>4</v>
      </c>
      <c r="B50" s="721">
        <v>0.50600000000000001</v>
      </c>
      <c r="C50" s="720">
        <v>4</v>
      </c>
      <c r="D50" s="721">
        <v>0.83899999999999997</v>
      </c>
      <c r="E50" s="720">
        <v>4</v>
      </c>
      <c r="F50" s="721">
        <v>1.44</v>
      </c>
      <c r="G50" s="720">
        <v>4</v>
      </c>
      <c r="H50" s="721">
        <v>3.31</v>
      </c>
      <c r="I50" s="720">
        <v>4</v>
      </c>
      <c r="J50" s="721">
        <v>3.8</v>
      </c>
      <c r="K50" s="720">
        <v>4</v>
      </c>
      <c r="L50" s="721">
        <v>3.8</v>
      </c>
    </row>
    <row r="51" spans="1:27" ht="13.5" hidden="1" thickTop="1" x14ac:dyDescent="0.2">
      <c r="G51" s="722"/>
      <c r="U51" s="723"/>
      <c r="V51" s="723"/>
      <c r="W51" s="723"/>
      <c r="X51" s="723"/>
      <c r="Y51" s="723"/>
      <c r="Z51" s="723"/>
      <c r="AA51" s="723"/>
    </row>
    <row r="52" spans="1:27" ht="14.25" hidden="1" thickTop="1" thickBot="1" x14ac:dyDescent="0.25">
      <c r="A52" s="1127" t="s">
        <v>814</v>
      </c>
      <c r="B52" s="997"/>
      <c r="C52" s="1127" t="s">
        <v>815</v>
      </c>
      <c r="D52" s="997"/>
      <c r="E52" s="1127" t="s">
        <v>816</v>
      </c>
      <c r="F52" s="997"/>
      <c r="G52" s="1127" t="s">
        <v>817</v>
      </c>
      <c r="H52" s="997"/>
      <c r="T52" s="723"/>
      <c r="U52" s="723"/>
    </row>
    <row r="53" spans="1:27" ht="13.5" hidden="1" thickTop="1" x14ac:dyDescent="0.2">
      <c r="A53" s="268" t="s">
        <v>790</v>
      </c>
      <c r="B53" s="724" t="s">
        <v>753</v>
      </c>
      <c r="C53" s="268" t="s">
        <v>790</v>
      </c>
      <c r="D53" s="724" t="s">
        <v>753</v>
      </c>
      <c r="E53" s="268" t="s">
        <v>790</v>
      </c>
      <c r="F53" s="724" t="s">
        <v>753</v>
      </c>
      <c r="G53" s="268" t="s">
        <v>790</v>
      </c>
      <c r="H53" s="724" t="s">
        <v>753</v>
      </c>
      <c r="U53" s="723"/>
    </row>
    <row r="54" spans="1:27" ht="13.5" hidden="1" thickTop="1" x14ac:dyDescent="0.2">
      <c r="A54" s="714">
        <v>0.6</v>
      </c>
      <c r="B54" s="716">
        <v>1.2800000000074165</v>
      </c>
      <c r="C54" s="714">
        <v>0.6</v>
      </c>
      <c r="D54" s="716">
        <v>1.4400000000076139</v>
      </c>
      <c r="E54" s="714">
        <v>0.6</v>
      </c>
      <c r="F54" s="716">
        <v>4.7400000000219507</v>
      </c>
      <c r="G54" s="714">
        <v>0.6</v>
      </c>
      <c r="H54" s="716">
        <v>4.4300000000232576</v>
      </c>
      <c r="U54" s="723"/>
    </row>
    <row r="55" spans="1:27" ht="13.5" hidden="1" thickTop="1" x14ac:dyDescent="0.2">
      <c r="A55" s="714">
        <v>0.8</v>
      </c>
      <c r="B55" s="716">
        <v>1.6847388235367402</v>
      </c>
      <c r="C55" s="714">
        <v>0.8</v>
      </c>
      <c r="D55" s="716">
        <v>1.8255031932852475</v>
      </c>
      <c r="E55" s="714">
        <v>0.8</v>
      </c>
      <c r="F55" s="716">
        <v>5.8161949580050436</v>
      </c>
      <c r="G55" s="714">
        <v>0.8</v>
      </c>
      <c r="H55" s="716">
        <v>5.3494252101072064</v>
      </c>
      <c r="U55" s="723"/>
    </row>
    <row r="56" spans="1:27" ht="13.5" hidden="1" thickTop="1" x14ac:dyDescent="0.2">
      <c r="A56" s="714">
        <v>1</v>
      </c>
      <c r="B56" s="716">
        <v>2.0900000000069343</v>
      </c>
      <c r="C56" s="714">
        <v>1</v>
      </c>
      <c r="D56" s="716">
        <v>2.2000000000075848</v>
      </c>
      <c r="E56" s="714">
        <v>1</v>
      </c>
      <c r="F56" s="716">
        <v>6.8500000000202181</v>
      </c>
      <c r="G56" s="714">
        <v>1</v>
      </c>
      <c r="H56" s="716">
        <v>6.3000000000214698</v>
      </c>
      <c r="U56" s="723"/>
    </row>
    <row r="57" spans="1:27" ht="13.5" hidden="1" thickTop="1" x14ac:dyDescent="0.2">
      <c r="A57" s="714">
        <v>1.2</v>
      </c>
      <c r="B57" s="716">
        <v>2.4913364705945336</v>
      </c>
      <c r="C57" s="714">
        <v>1.2</v>
      </c>
      <c r="D57" s="716">
        <v>2.5692752941242691</v>
      </c>
      <c r="E57" s="714">
        <v>1.2</v>
      </c>
      <c r="F57" s="716">
        <v>7.8620705882524806</v>
      </c>
      <c r="G57" s="714">
        <v>1.2</v>
      </c>
      <c r="H57" s="716">
        <v>7.2844470588417893</v>
      </c>
      <c r="U57" s="723"/>
    </row>
    <row r="58" spans="1:27" ht="13.5" hidden="1" thickTop="1" x14ac:dyDescent="0.2">
      <c r="A58" s="714">
        <v>1.4</v>
      </c>
      <c r="B58" s="716">
        <v>2.8854870588290122</v>
      </c>
      <c r="C58" s="714">
        <v>1.4</v>
      </c>
      <c r="D58" s="716">
        <v>2.938260840341234</v>
      </c>
      <c r="E58" s="714">
        <v>1.4</v>
      </c>
      <c r="F58" s="716">
        <v>8.8700302521137271</v>
      </c>
      <c r="G58" s="714">
        <v>1.4</v>
      </c>
      <c r="H58" s="716">
        <v>8.3050487395094432</v>
      </c>
      <c r="U58" s="723"/>
    </row>
    <row r="59" spans="1:27" ht="13.5" hidden="1" thickTop="1" x14ac:dyDescent="0.2">
      <c r="A59" s="714">
        <v>1.6</v>
      </c>
      <c r="B59" s="716">
        <v>3.2703764705927858</v>
      </c>
      <c r="C59" s="714">
        <v>1.6</v>
      </c>
      <c r="D59" s="716">
        <v>3.3110352941206993</v>
      </c>
      <c r="E59" s="714">
        <v>1.6</v>
      </c>
      <c r="F59" s="716">
        <v>9.8884705882427451</v>
      </c>
      <c r="G59" s="714">
        <v>1.6</v>
      </c>
      <c r="H59" s="716">
        <v>9.3636470588312477</v>
      </c>
      <c r="U59" s="723"/>
    </row>
    <row r="60" spans="1:27" ht="13.5" hidden="1" thickTop="1" x14ac:dyDescent="0.2">
      <c r="A60" s="714">
        <v>1.8</v>
      </c>
      <c r="B60" s="716">
        <v>3.6451152941212088</v>
      </c>
      <c r="C60" s="714">
        <v>1.8</v>
      </c>
      <c r="D60" s="716">
        <v>3.6908242016811759</v>
      </c>
      <c r="E60" s="714">
        <v>1.8</v>
      </c>
      <c r="F60" s="716">
        <v>10.928951260505212</v>
      </c>
      <c r="G60" s="714">
        <v>1.8</v>
      </c>
      <c r="H60" s="716">
        <v>10.461643697479554</v>
      </c>
      <c r="U60" s="723"/>
    </row>
    <row r="61" spans="1:27" ht="13.5" hidden="1" thickTop="1" x14ac:dyDescent="0.2">
      <c r="A61" s="714">
        <v>2</v>
      </c>
      <c r="B61" s="716">
        <v>4.0100000000025764</v>
      </c>
      <c r="C61" s="714">
        <v>2</v>
      </c>
      <c r="D61" s="716">
        <v>4.079999999997459</v>
      </c>
      <c r="E61" s="714">
        <v>2</v>
      </c>
      <c r="F61" s="716">
        <v>11.999999999993692</v>
      </c>
      <c r="G61" s="714">
        <v>2</v>
      </c>
      <c r="H61" s="716">
        <v>11.599999999992257</v>
      </c>
      <c r="U61" s="723"/>
    </row>
    <row r="62" spans="1:27" ht="13.5" hidden="1" thickTop="1" x14ac:dyDescent="0.2">
      <c r="A62" s="714">
        <v>2.2000000000000002</v>
      </c>
      <c r="B62" s="716">
        <v>4.3665129411781241</v>
      </c>
      <c r="C62" s="714">
        <v>2.2000000000000002</v>
      </c>
      <c r="D62" s="716">
        <v>4.4800820168006386</v>
      </c>
      <c r="E62" s="714">
        <v>2.2000000000000002</v>
      </c>
      <c r="F62" s="716">
        <v>13.107112605027652</v>
      </c>
      <c r="G62" s="714">
        <v>2.2000000000000002</v>
      </c>
      <c r="H62" s="716">
        <v>12.779236974772783</v>
      </c>
      <c r="U62" s="723"/>
    </row>
    <row r="63" spans="1:27" ht="13.5" hidden="1" thickTop="1" x14ac:dyDescent="0.2">
      <c r="A63" s="714">
        <v>2.4</v>
      </c>
      <c r="B63" s="716">
        <v>4.7173223529420261</v>
      </c>
      <c r="C63" s="714">
        <v>2.4</v>
      </c>
      <c r="D63" s="716">
        <v>4.8917364705780857</v>
      </c>
      <c r="E63" s="714">
        <v>2.4</v>
      </c>
      <c r="F63" s="716">
        <v>14.252752941153428</v>
      </c>
      <c r="G63" s="714">
        <v>2.4</v>
      </c>
      <c r="H63" s="716">
        <v>13.999435294090098</v>
      </c>
      <c r="U63" s="723"/>
    </row>
    <row r="64" spans="1:27" ht="13.5" hidden="1" thickTop="1" x14ac:dyDescent="0.2">
      <c r="A64" s="714">
        <v>2.6</v>
      </c>
      <c r="B64" s="716">
        <v>5.0662823529413981</v>
      </c>
      <c r="C64" s="714">
        <v>2.6</v>
      </c>
      <c r="D64" s="716">
        <v>5.3147764705734675</v>
      </c>
      <c r="E64" s="714">
        <v>2.6</v>
      </c>
      <c r="F64" s="716">
        <v>15.436352941144278</v>
      </c>
      <c r="G64" s="714">
        <v>2.6</v>
      </c>
      <c r="H64" s="716">
        <v>15.26023529407871</v>
      </c>
      <c r="U64" s="723"/>
    </row>
    <row r="65" spans="1:21" ht="13.5" hidden="1" thickTop="1" x14ac:dyDescent="0.2">
      <c r="A65" s="714">
        <v>2.8</v>
      </c>
      <c r="B65" s="716">
        <v>5.418432941176297</v>
      </c>
      <c r="C65" s="714">
        <v>2.8</v>
      </c>
      <c r="D65" s="716">
        <v>5.7481620167867327</v>
      </c>
      <c r="E65" s="714">
        <v>2.8</v>
      </c>
      <c r="F65" s="716">
        <v>16.654312605000317</v>
      </c>
      <c r="G65" s="714">
        <v>2.8</v>
      </c>
      <c r="H65" s="716">
        <v>16.560836974738656</v>
      </c>
      <c r="U65" s="723"/>
    </row>
    <row r="66" spans="1:21" ht="13.5" hidden="1" thickTop="1" x14ac:dyDescent="0.2">
      <c r="A66" s="714">
        <v>3</v>
      </c>
      <c r="B66" s="716">
        <v>5.7799999999997169</v>
      </c>
      <c r="C66" s="714">
        <v>3</v>
      </c>
      <c r="D66" s="716">
        <v>6.1899999999741233</v>
      </c>
      <c r="E66" s="714">
        <v>3</v>
      </c>
      <c r="F66" s="716">
        <v>17.899999999948577</v>
      </c>
      <c r="G66" s="714">
        <v>3</v>
      </c>
      <c r="H66" s="716">
        <v>17.899999999935517</v>
      </c>
      <c r="U66" s="723"/>
    </row>
    <row r="67" spans="1:21" ht="13.5" hidden="1" thickTop="1" x14ac:dyDescent="0.2">
      <c r="A67" s="714">
        <v>3.2</v>
      </c>
      <c r="B67" s="716">
        <v>6.158395294117593</v>
      </c>
      <c r="C67" s="714">
        <v>3.2</v>
      </c>
      <c r="D67" s="716">
        <v>6.6375442016481676</v>
      </c>
      <c r="E67" s="714">
        <v>3.2</v>
      </c>
      <c r="F67" s="716">
        <v>19.163751260442965</v>
      </c>
      <c r="G67" s="714">
        <v>3.2</v>
      </c>
      <c r="H67" s="716">
        <v>18.740000000000038</v>
      </c>
      <c r="U67" s="723"/>
    </row>
    <row r="68" spans="1:21" ht="13.5" hidden="1" thickTop="1" x14ac:dyDescent="0.2">
      <c r="A68" s="714">
        <v>3.4</v>
      </c>
      <c r="B68" s="716">
        <v>6.562216470588802</v>
      </c>
      <c r="C68" s="714">
        <v>3.4</v>
      </c>
      <c r="D68" s="716">
        <v>7.0871952940776834</v>
      </c>
      <c r="E68" s="714">
        <v>3.4</v>
      </c>
      <c r="F68" s="716">
        <v>20.432870588164288</v>
      </c>
      <c r="G68" s="714">
        <v>3.4</v>
      </c>
      <c r="H68" s="716">
        <v>19.580000000000037</v>
      </c>
      <c r="U68" s="723"/>
    </row>
    <row r="69" spans="1:21" ht="13.5" hidden="1" thickTop="1" x14ac:dyDescent="0.2">
      <c r="A69" s="714">
        <v>3.6</v>
      </c>
      <c r="B69" s="716">
        <v>7.0012470588251601</v>
      </c>
      <c r="C69" s="714">
        <v>3.6</v>
      </c>
      <c r="D69" s="716">
        <v>7.5345008402877776</v>
      </c>
      <c r="E69" s="714">
        <v>3.6</v>
      </c>
      <c r="F69" s="716">
        <v>21.691630252020236</v>
      </c>
      <c r="G69" s="714">
        <v>3.6</v>
      </c>
      <c r="H69" s="716">
        <v>20.420000000000037</v>
      </c>
      <c r="U69" s="723"/>
    </row>
    <row r="70" spans="1:21" ht="13.5" hidden="1" thickTop="1" x14ac:dyDescent="0.2">
      <c r="A70" s="714">
        <v>3.8</v>
      </c>
      <c r="B70" s="716">
        <v>7.4864564705914223</v>
      </c>
      <c r="C70" s="714">
        <v>3.8</v>
      </c>
      <c r="D70" s="716">
        <v>7.9741552940598392</v>
      </c>
      <c r="E70" s="714">
        <v>3.8</v>
      </c>
      <c r="F70" s="716">
        <v>22.92127058814539</v>
      </c>
      <c r="G70" s="714">
        <v>3.8</v>
      </c>
      <c r="H70" s="716">
        <v>21.260000000000034</v>
      </c>
      <c r="U70" s="723"/>
    </row>
    <row r="71" spans="1:21" ht="14.25" hidden="1" thickTop="1" thickBot="1" x14ac:dyDescent="0.25">
      <c r="A71" s="720">
        <v>4</v>
      </c>
      <c r="B71" s="721">
        <v>8.0300000000052858</v>
      </c>
      <c r="C71" s="720">
        <v>4</v>
      </c>
      <c r="D71" s="721">
        <v>8.3999999999315591</v>
      </c>
      <c r="E71" s="720">
        <v>4</v>
      </c>
      <c r="F71" s="721">
        <v>24.099999999901243</v>
      </c>
      <c r="G71" s="720">
        <v>4</v>
      </c>
      <c r="H71" s="721">
        <v>22.10000000000003</v>
      </c>
      <c r="U71" s="723"/>
    </row>
    <row r="72" spans="1:21" ht="13.5" thickTop="1" x14ac:dyDescent="0.2"/>
  </sheetData>
  <sheetProtection sheet="1" objects="1" scenarios="1" selectLockedCells="1"/>
  <mergeCells count="29">
    <mergeCell ref="K30:L30"/>
    <mergeCell ref="A52:B52"/>
    <mergeCell ref="C52:D52"/>
    <mergeCell ref="E52:F52"/>
    <mergeCell ref="G52:H52"/>
    <mergeCell ref="I30:J30"/>
    <mergeCell ref="B29:C29"/>
    <mergeCell ref="A30:B30"/>
    <mergeCell ref="C30:D30"/>
    <mergeCell ref="E30:F30"/>
    <mergeCell ref="G30:H30"/>
    <mergeCell ref="B28:C28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16:C16"/>
    <mergeCell ref="A1:I1"/>
    <mergeCell ref="A2:I2"/>
    <mergeCell ref="A14:A15"/>
    <mergeCell ref="B14:C14"/>
    <mergeCell ref="B15:C15"/>
  </mergeCells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53"/>
  <sheetViews>
    <sheetView showGridLines="0" zoomScaleNormal="100" workbookViewId="0">
      <selection activeCell="N18" sqref="N18"/>
    </sheetView>
  </sheetViews>
  <sheetFormatPr defaultColWidth="8.85546875" defaultRowHeight="12.75" x14ac:dyDescent="0.2"/>
  <cols>
    <col min="1" max="1" width="24.7109375" customWidth="1"/>
    <col min="2" max="2" width="14.28515625" customWidth="1"/>
    <col min="3" max="3" width="15.7109375" customWidth="1"/>
    <col min="4" max="4" width="16.42578125" customWidth="1"/>
    <col min="5" max="5" width="15.7109375" hidden="1" customWidth="1"/>
    <col min="6" max="6" width="15.7109375" customWidth="1"/>
    <col min="7" max="10" width="10.7109375" customWidth="1"/>
    <col min="11" max="11" width="20.42578125" customWidth="1"/>
    <col min="15" max="16" width="20.28515625" bestFit="1" customWidth="1"/>
  </cols>
  <sheetData>
    <row r="1" spans="1:12" ht="21" thickTop="1" x14ac:dyDescent="0.3">
      <c r="A1" s="880" t="s">
        <v>854</v>
      </c>
      <c r="B1" s="881"/>
      <c r="C1" s="881"/>
      <c r="D1" s="881"/>
      <c r="E1" s="881"/>
      <c r="F1" s="881"/>
      <c r="G1" s="881"/>
      <c r="H1" s="881"/>
      <c r="I1" s="881"/>
      <c r="J1" s="881"/>
      <c r="K1" s="892"/>
      <c r="L1" s="5"/>
    </row>
    <row r="2" spans="1:12" ht="21" thickBot="1" x14ac:dyDescent="0.35">
      <c r="A2" s="889" t="s">
        <v>853</v>
      </c>
      <c r="B2" s="890"/>
      <c r="C2" s="890"/>
      <c r="D2" s="890"/>
      <c r="E2" s="890"/>
      <c r="F2" s="890"/>
      <c r="G2" s="890"/>
      <c r="H2" s="890"/>
      <c r="I2" s="890"/>
      <c r="J2" s="890"/>
      <c r="K2" s="891"/>
      <c r="L2" s="5"/>
    </row>
    <row r="3" spans="1:12" ht="13.5" thickTop="1" x14ac:dyDescent="0.2">
      <c r="A3" s="20"/>
      <c r="B3" s="50"/>
      <c r="C3" s="50"/>
      <c r="D3" s="21"/>
      <c r="E3" s="21"/>
      <c r="F3" s="21"/>
      <c r="G3" s="21"/>
      <c r="H3" s="21"/>
      <c r="I3" s="21"/>
      <c r="J3" s="21"/>
      <c r="K3" s="22"/>
    </row>
    <row r="4" spans="1:12" ht="13.5" thickBot="1" x14ac:dyDescent="0.25">
      <c r="A4" s="24"/>
      <c r="B4" s="19"/>
      <c r="D4" s="25"/>
      <c r="K4" s="23"/>
    </row>
    <row r="5" spans="1:12" ht="13.5" hidden="1" thickBot="1" x14ac:dyDescent="0.25">
      <c r="A5" s="32" t="s">
        <v>66</v>
      </c>
      <c r="B5" s="33">
        <v>20</v>
      </c>
      <c r="C5" s="26" t="s">
        <v>67</v>
      </c>
      <c r="K5" s="23"/>
    </row>
    <row r="6" spans="1:12" ht="13.5" thickBot="1" x14ac:dyDescent="0.25">
      <c r="A6" s="32" t="s">
        <v>68</v>
      </c>
      <c r="B6" s="441">
        <v>1500</v>
      </c>
      <c r="C6" s="26" t="s">
        <v>69</v>
      </c>
      <c r="D6" s="25"/>
      <c r="H6" s="25"/>
      <c r="K6" s="23"/>
    </row>
    <row r="7" spans="1:12" x14ac:dyDescent="0.2">
      <c r="A7" s="24"/>
      <c r="H7" s="25"/>
      <c r="K7" s="23"/>
    </row>
    <row r="8" spans="1:12" ht="13.5" thickBot="1" x14ac:dyDescent="0.25">
      <c r="A8" s="24"/>
      <c r="K8" s="23"/>
    </row>
    <row r="9" spans="1:12" ht="13.5" thickTop="1" x14ac:dyDescent="0.2">
      <c r="A9" s="893" t="s">
        <v>24</v>
      </c>
      <c r="B9" s="888" t="s">
        <v>60</v>
      </c>
      <c r="C9" s="888"/>
      <c r="D9" s="888" t="s">
        <v>70</v>
      </c>
      <c r="E9" s="888"/>
      <c r="F9" s="895"/>
      <c r="K9" s="23"/>
    </row>
    <row r="10" spans="1:12" x14ac:dyDescent="0.2">
      <c r="A10" s="894"/>
      <c r="B10" s="232" t="s">
        <v>55</v>
      </c>
      <c r="C10" s="232" t="s">
        <v>61</v>
      </c>
      <c r="D10" s="114" t="s">
        <v>62</v>
      </c>
      <c r="E10" s="74" t="s">
        <v>71</v>
      </c>
      <c r="F10" s="36" t="s">
        <v>72</v>
      </c>
      <c r="K10" s="23"/>
    </row>
    <row r="11" spans="1:12" x14ac:dyDescent="0.2">
      <c r="A11" s="470" t="s">
        <v>583</v>
      </c>
      <c r="B11" s="462" t="s">
        <v>579</v>
      </c>
      <c r="C11" s="462" t="s">
        <v>568</v>
      </c>
      <c r="D11" s="556" t="str">
        <f>IF(J40="UDEN FOR OMRÅDET","NOT POSSIBLE",IF(K40="UDEN FOR OMRÅDET","NOT POSSIBLE",(0.000000000005542*B6^4-0.000000011024963*B6^3+0.000008062366517*B6^2+0.001574675994768*B6+0.437597137192088)))</f>
        <v>NOT POSSIBLE</v>
      </c>
      <c r="E11" s="549" t="e">
        <f>-0.0001914848*D11^5+0.0053285439*D11^4-0.054883786*D11^3+0.2534175671*D11^2-0.2481945056*D11+0.1333828468</f>
        <v>#VALUE!</v>
      </c>
      <c r="F11" s="550" t="str">
        <f>IF(J40="UDEN FOR OMRÅDET","NOT POSSIBLE",IF(B6&lt;40,10,((((0.1322*D11^2+0.2648*D11+9.8241))))))</f>
        <v>NOT POSSIBLE</v>
      </c>
      <c r="K11" s="23"/>
    </row>
    <row r="12" spans="1:12" x14ac:dyDescent="0.2">
      <c r="A12" s="447" t="s">
        <v>584</v>
      </c>
      <c r="B12" s="232" t="s">
        <v>573</v>
      </c>
      <c r="C12" s="232" t="s">
        <v>91</v>
      </c>
      <c r="D12" s="556" t="str">
        <f>IF(J41="UDEN FOR OMRÅDET","NOT POSSIBLE",IF(K41="UDEN FOR OMRÅDET","NOT POSSIBLE",(ROUND(0.000000000004935*B6^4-0.000000011338095*B6^3+0.000009011774864*B6^2+0.000523712911518*B6+0.458015907559471,1))))</f>
        <v>NOT POSSIBLE</v>
      </c>
      <c r="E12" s="549" t="e">
        <f>-0.0001313737*D12^5+0.0033025825*D12^4-0.030488192*D12^3+0.130530682*D12^2-0.0056293818*D12+0.0026799239</f>
        <v>#VALUE!</v>
      </c>
      <c r="F12" s="550" t="str">
        <f>IF(J41="UDEN FOR OMRÅDET","NOT POSSIBLE",IF(B6&lt;60,14,((((0.2956*D12^2-0.4757*D12+14.17))))))</f>
        <v>NOT POSSIBLE</v>
      </c>
      <c r="K12" s="23"/>
    </row>
    <row r="13" spans="1:12" x14ac:dyDescent="0.2">
      <c r="A13" s="470" t="s">
        <v>585</v>
      </c>
      <c r="B13" s="462" t="s">
        <v>580</v>
      </c>
      <c r="C13" s="462" t="s">
        <v>582</v>
      </c>
      <c r="D13" s="556">
        <f>IF(J42="UDEN FOR OMRÅDET","NOT POSSIBLE",IF(K42="UDEN FOR OMRÅDET","NOT POSSIBLE",IF(B6&lt;1465,(1.43958726E-12*B6^4-4.05602367413E-09*B6^3+0.0000042670132068909*B6^2-0.000061224426617176*B6+0.509465618579983),(2.758949268903E-08*B6^4-0.000165382498714462*B6^3+0.371749749406838*B6^2-371.370189738866*B6+139116.043827614))))</f>
        <v>3.5689616057206877</v>
      </c>
      <c r="E13" s="557">
        <f>-0.0002922512*D13^5+0.0079441211*D13^4-0.081093891*D13^3+0.3716534766*D13^2-0.315676037*D13+0.1555909698</f>
        <v>1.1960477664842428</v>
      </c>
      <c r="F13" s="550">
        <f>IF(J42="UDEN FOR OMRÅDET","NOT POSSIBLE",IF(B6&lt;86,9,((((0.5565*D13^2-0.7865*D13+9.2446))))))</f>
        <v>13.526023180940497</v>
      </c>
      <c r="K13" s="23"/>
    </row>
    <row r="14" spans="1:12" x14ac:dyDescent="0.2">
      <c r="A14" s="447" t="s">
        <v>586</v>
      </c>
      <c r="B14" s="232" t="s">
        <v>574</v>
      </c>
      <c r="C14" s="232" t="s">
        <v>78</v>
      </c>
      <c r="D14" s="556">
        <f>IF(J43="UDEN FOR OMRÅDET","NOT POSSIBLE",IF(K43="UDEN FOR OMRÅDET","NOT POSSIBLE",(ROUND(2.8068E-16*B6^5-1.30894961E-12*B6^4+2.26233522011E-09*B6^3-1.24113081172312E-06*B6^2+0.00135922155812669*B6+0.36672369992407,1))))</f>
        <v>2.8</v>
      </c>
      <c r="E14" s="549">
        <f>-0.0002702024*D14^5+0.0070152744*D14^4-0.0684282308*D14^3+0.303994227*D14^2-0.158105984*D14+0.1037020483</f>
        <v>0.9268787330342082</v>
      </c>
      <c r="F14" s="550">
        <f>IF(J43="UDEN FOR OMRÅDET","NOT POSSIBLE",IF(B6&lt;1150,16,((((1.3*D14^2-3.3*D14+17.4))))))</f>
        <v>18.351999999999997</v>
      </c>
      <c r="K14" s="23"/>
    </row>
    <row r="15" spans="1:12" x14ac:dyDescent="0.2">
      <c r="A15" s="475" t="s">
        <v>593</v>
      </c>
      <c r="B15" s="476" t="s">
        <v>656</v>
      </c>
      <c r="C15" s="476" t="s">
        <v>568</v>
      </c>
      <c r="D15" s="556">
        <f>IF(J44="UDEN FOR OMRÅDET","NOT POSSIBLE",IF(K44="UDEN FOR OMRÅDET","NOT POSSIBLE",(ROUND(3.577666E-19*B6^6-2.0108634327E-15*B6^5+4.5155824969614E-12*B6^4-5.14850949044569E-09*B6^3+3.06014542707752E-06*B6^2+0.000866072655118996*B6+0.398843987528968,1))))</f>
        <v>2.9</v>
      </c>
      <c r="E15" s="549"/>
      <c r="F15" s="550">
        <f>IF(J44="UDEN FOR OMRÅDET","NOT POSSIBLE",IF(B6&lt;975,10.2,((((-2*D15^2+18.6*D15-16.4))))))</f>
        <v>20.720000000000006</v>
      </c>
      <c r="K15" s="23"/>
    </row>
    <row r="16" spans="1:12" x14ac:dyDescent="0.2">
      <c r="A16" s="447" t="s">
        <v>594</v>
      </c>
      <c r="B16" s="232" t="s">
        <v>595</v>
      </c>
      <c r="C16" s="232" t="s">
        <v>91</v>
      </c>
      <c r="D16" s="556">
        <f>IF(J45="UDEN FOR OMRÅDET","NOT POSSIBLE",IF(K45="UDEN FOR OMRÅDET","NOT POSSIBLE",(ROUND(1.6084E-16*B6^5-7.8792682E-13*B6^4+1.22444138078E-09*B6^3-5.1797692941027E-07*B6^2+0.00125732825340572*B6+0.327414644949624,1)
)))</f>
        <v>2.4</v>
      </c>
      <c r="E16" s="549">
        <f>-0.0001720525*D16^5+0.0050695668*D16^4-0.0602406174*D16^3+0.3152398884*D16^2-0.0451710556*D16+0.0404546674</f>
        <v>1.0695557620124798</v>
      </c>
      <c r="F16" s="550">
        <f>IF(J45="UDEN FOR OMRÅDET","NOT POSSIBLE",IF(B6&lt;550,14,((((-0.299047619*D16^4+2.8238095238*D16^3-6.6666666667*D16^2+5.819047619*D16+12.4228571429))))))</f>
        <v>17.1032320011848</v>
      </c>
      <c r="K16" s="23"/>
    </row>
    <row r="17" spans="1:11" x14ac:dyDescent="0.2">
      <c r="A17" s="475" t="s">
        <v>658</v>
      </c>
      <c r="B17" s="476" t="s">
        <v>603</v>
      </c>
      <c r="C17" s="476" t="s">
        <v>97</v>
      </c>
      <c r="D17" s="556">
        <f>IF(J46="UDEN FOR OMRÅDET","NOT POSSIBLE",IF(K46="UDEN FOR OMRÅDET","NOT POSSIBLE",(0.0000000000000000485*B6^5-0.000000000000173929*B6^4+2.1806023467E-10*B6^3+5.857120184228E-08*B6^2+0.00159001465864468*B6+0.259046204559444)))</f>
        <v>2.9995880011828446</v>
      </c>
      <c r="E17" s="549">
        <f>-0.0001720525*D17^5+0.0050695668*D17^4-0.0602406174*D17^3+0.3152398884*D17^2-0.0451710556*D17+0.0404546674</f>
        <v>1.4841425679247082</v>
      </c>
      <c r="F17" s="550">
        <f>IF(J46="UDEN FOR OMRÅDET","NOT POSSIBLE",IF(B6&lt;150,10,((((0.1321966693*D17^2+0.2648295004*D17+9.8240681998))))))</f>
        <v>11.807890848470247</v>
      </c>
      <c r="K17" s="23"/>
    </row>
    <row r="18" spans="1:11" x14ac:dyDescent="0.2">
      <c r="A18" s="447" t="s">
        <v>89</v>
      </c>
      <c r="B18" s="232" t="s">
        <v>581</v>
      </c>
      <c r="C18" s="232" t="s">
        <v>94</v>
      </c>
      <c r="D18" s="556">
        <f>IF(J47="UDEN FOR OMRÅDET","NOT POSSIBLE",IF(K47="UDEN FOR OMRÅDET","NOT POSSIBLE",(-0.0000000000000007646*B6^4+8.66167203E-12*B6^3-1.368304333946E-08*B6^2+0.000674608449084757*B6+0.365102207453672)))</f>
        <v>1.3715903891682724</v>
      </c>
      <c r="E18" s="549">
        <f xml:space="preserve"> -0.0002207819*D18^5+0.0048575488*D18^4-0.042801013*D18^3+0.1612668541*D18^2+0.9429656517*D18-0.4890993807</f>
        <v>1.0133277307201527</v>
      </c>
      <c r="F18" s="550">
        <f>IF(J47="UDEN FOR OMRÅDET","NOT POSSIBLE",IF(B6&lt;200,15,((((0.2852498017*D18^2+0.4377874703*D18+14.6948850119))))))</f>
        <v>15.831979196419539</v>
      </c>
      <c r="K18" s="23"/>
    </row>
    <row r="19" spans="1:11" x14ac:dyDescent="0.2">
      <c r="A19" s="475" t="s">
        <v>92</v>
      </c>
      <c r="B19" s="476" t="s">
        <v>575</v>
      </c>
      <c r="C19" s="476" t="s">
        <v>568</v>
      </c>
      <c r="D19" s="556">
        <f>IF(J48="UDEN FOR OMRÅDET","NOT POSSIBLE",IF(K48="UDEN FOR OMRÅDET","NOT POSSIBLE",(5.9873E-16*B6^4-0.0000000000095790398*B6^3+3.922038370896E-08*B6^2+0.0005179824896256*B6+0.107933010658806)))</f>
        <v>0.94385441974236606</v>
      </c>
      <c r="E19" s="549">
        <f>-0.0012675993*D19^5+0.0341544632*D19^4-0.344969967*D19^3+1.5414329114*D19^2-1.1127621642*D19+0.3349824205</f>
        <v>0.39399058994099073</v>
      </c>
      <c r="F19" s="550">
        <f>IF(J48="UDEN FOR OMRÅDET","NOT POSSIBLE",IF(B6&lt;3350,10,((((0.95*D19^2-2.25*D19+10.8))))))</f>
        <v>10</v>
      </c>
      <c r="K19" s="23"/>
    </row>
    <row r="20" spans="1:11" ht="13.5" thickBot="1" x14ac:dyDescent="0.25">
      <c r="A20" s="448" t="s">
        <v>95</v>
      </c>
      <c r="B20" s="449" t="s">
        <v>576</v>
      </c>
      <c r="C20" s="449" t="s">
        <v>568</v>
      </c>
      <c r="D20" s="558">
        <f>IF(J49="UDEN FOR OMRÅDET","NOT POSSIBLE",IF(K49="UDEN FOR OMRÅDET","NOT POSSIBLE",(ROUND(-0.00000000000000007*B6^4+0.00000000000118072*B6^3-0.00000001872155789*B6^2+0.00052869856838356*B6+0.0496570952659024,1))))</f>
        <v>0.8</v>
      </c>
      <c r="E20" s="554">
        <f>-0.000196373*D20^5+0.0050851175*D20^4-0.0540651414*D20^3+0.1694730368*D20^2+2.4082032907*D20-1.4693911114</f>
        <v>0.53997142893855998</v>
      </c>
      <c r="F20" s="555">
        <f>IF(J49="UDEN FOR OMRÅDET","NOT POSSIBLE",IF(B6&lt;4200,10,((((-0.1914*D20^4+1.831*D20^3-4*D20^2+3.1548*D20+9.2057))))))</f>
        <v>10</v>
      </c>
      <c r="K20" s="23"/>
    </row>
    <row r="21" spans="1:11" ht="13.5" thickTop="1" x14ac:dyDescent="0.2">
      <c r="A21" s="24"/>
      <c r="E21" s="27"/>
      <c r="K21" s="23"/>
    </row>
    <row r="22" spans="1:11" x14ac:dyDescent="0.2">
      <c r="A22" s="24"/>
      <c r="E22" s="25"/>
      <c r="F22" s="25"/>
      <c r="K22" s="23"/>
    </row>
    <row r="23" spans="1:11" x14ac:dyDescent="0.2">
      <c r="A23" s="24"/>
      <c r="E23" s="19"/>
      <c r="K23" s="23"/>
    </row>
    <row r="24" spans="1:11" x14ac:dyDescent="0.2">
      <c r="A24" s="24"/>
      <c r="E24" s="58"/>
      <c r="K24" s="23"/>
    </row>
    <row r="25" spans="1:11" x14ac:dyDescent="0.2">
      <c r="A25" s="24"/>
      <c r="E25" s="58"/>
      <c r="K25" s="23"/>
    </row>
    <row r="26" spans="1:11" x14ac:dyDescent="0.2">
      <c r="A26" s="24"/>
      <c r="E26" s="58"/>
      <c r="K26" s="23"/>
    </row>
    <row r="27" spans="1:11" x14ac:dyDescent="0.2">
      <c r="A27" s="24"/>
      <c r="E27" s="58"/>
      <c r="K27" s="23"/>
    </row>
    <row r="28" spans="1:11" x14ac:dyDescent="0.2">
      <c r="A28" s="24"/>
      <c r="E28" s="58"/>
      <c r="K28" s="23"/>
    </row>
    <row r="29" spans="1:11" x14ac:dyDescent="0.2">
      <c r="A29" s="24"/>
      <c r="E29" s="58"/>
      <c r="K29" s="23"/>
    </row>
    <row r="30" spans="1:11" x14ac:dyDescent="0.2">
      <c r="A30" s="24"/>
      <c r="E30" s="58"/>
      <c r="K30" s="23"/>
    </row>
    <row r="31" spans="1:11" x14ac:dyDescent="0.2">
      <c r="A31" s="24"/>
      <c r="E31" s="58"/>
      <c r="K31" s="23"/>
    </row>
    <row r="32" spans="1:11" x14ac:dyDescent="0.2">
      <c r="A32" s="24"/>
      <c r="E32" s="58"/>
      <c r="K32" s="23"/>
    </row>
    <row r="33" spans="1:12" x14ac:dyDescent="0.2">
      <c r="A33" s="24"/>
      <c r="F33" s="28"/>
      <c r="K33" s="23"/>
    </row>
    <row r="34" spans="1:12" ht="13.5" thickBot="1" x14ac:dyDescent="0.25">
      <c r="A34" s="29" t="s">
        <v>64</v>
      </c>
      <c r="B34" s="30"/>
      <c r="C34" s="30"/>
      <c r="D34" s="30"/>
      <c r="E34" s="30"/>
      <c r="F34" s="30"/>
      <c r="G34" s="30"/>
      <c r="H34" s="30"/>
      <c r="I34" s="30"/>
      <c r="J34" s="30"/>
      <c r="K34" s="31"/>
    </row>
    <row r="35" spans="1:12" ht="10.5" customHeight="1" thickTop="1" x14ac:dyDescent="0.2"/>
    <row r="36" spans="1:12" hidden="1" x14ac:dyDescent="0.2"/>
    <row r="37" spans="1:12" s="4" customFormat="1" ht="31.5" hidden="1" customHeight="1" x14ac:dyDescent="0.4">
      <c r="A37" s="882" t="s">
        <v>11</v>
      </c>
      <c r="B37" s="882"/>
      <c r="C37" s="882"/>
      <c r="D37" s="883"/>
      <c r="E37" s="883"/>
      <c r="F37" s="883"/>
      <c r="G37" s="883"/>
      <c r="H37" s="883"/>
      <c r="I37" s="883"/>
      <c r="J37" s="883"/>
      <c r="K37" s="883"/>
      <c r="L37" s="6"/>
    </row>
    <row r="38" spans="1:12" ht="13.5" hidden="1" thickBot="1" x14ac:dyDescent="0.25"/>
    <row r="39" spans="1:12" ht="13.5" hidden="1" thickTop="1" x14ac:dyDescent="0.2">
      <c r="A39" s="9" t="s">
        <v>0</v>
      </c>
      <c r="B39" s="52"/>
      <c r="C39" s="52"/>
      <c r="D39" s="10" t="s">
        <v>1</v>
      </c>
      <c r="E39" s="10" t="s">
        <v>2</v>
      </c>
      <c r="F39" s="10" t="s">
        <v>3</v>
      </c>
      <c r="G39" s="10" t="s">
        <v>8</v>
      </c>
      <c r="H39" s="10" t="s">
        <v>4</v>
      </c>
      <c r="I39" s="10" t="s">
        <v>5</v>
      </c>
      <c r="J39" s="11" t="s">
        <v>6</v>
      </c>
      <c r="K39" s="12" t="s">
        <v>7</v>
      </c>
    </row>
    <row r="40" spans="1:12" hidden="1" x14ac:dyDescent="0.2">
      <c r="A40" s="13" t="s">
        <v>100</v>
      </c>
      <c r="B40" s="53"/>
      <c r="C40" s="53"/>
      <c r="D40" s="7"/>
      <c r="E40" s="59"/>
      <c r="F40" s="60"/>
      <c r="G40" s="61">
        <v>2.6</v>
      </c>
      <c r="H40" s="38">
        <v>40</v>
      </c>
      <c r="I40" s="1">
        <v>900</v>
      </c>
      <c r="J40" s="2" t="str">
        <f t="shared" ref="J40:J49" si="0">IF($B$6&lt;=H40-1,"UDEN FOR OMRÅDET",IF($B$6&gt;=I40+1,"UDEN FOR OMRÅDET",$B$6))</f>
        <v>UDEN FOR OMRÅDET</v>
      </c>
      <c r="K40" s="14">
        <f>IF($B$5&lt;=7,"UDEN FOR OMRÅDET",IF($B$5&gt;=401,"UDEN FOR OMRÅDET",$B$5))</f>
        <v>20</v>
      </c>
    </row>
    <row r="41" spans="1:12" hidden="1" x14ac:dyDescent="0.2">
      <c r="A41" s="13" t="s">
        <v>102</v>
      </c>
      <c r="B41" s="53"/>
      <c r="C41" s="53"/>
      <c r="D41" s="7"/>
      <c r="E41" s="59"/>
      <c r="F41" s="60"/>
      <c r="G41" s="61">
        <v>2.6</v>
      </c>
      <c r="H41" s="38">
        <v>60</v>
      </c>
      <c r="I41" s="1">
        <v>1080</v>
      </c>
      <c r="J41" s="2" t="str">
        <f t="shared" si="0"/>
        <v>UDEN FOR OMRÅDET</v>
      </c>
      <c r="K41" s="14">
        <f>IF($B$5&lt;=15,"UDEN FOR OMRÅDET",IF($B$5&gt;=401,"UDEN FOR OMRÅDET",$B$5))</f>
        <v>20</v>
      </c>
    </row>
    <row r="42" spans="1:12" hidden="1" x14ac:dyDescent="0.2">
      <c r="A42" s="13" t="s">
        <v>104</v>
      </c>
      <c r="B42" s="53"/>
      <c r="C42" s="53"/>
      <c r="D42" s="7"/>
      <c r="E42" s="59"/>
      <c r="F42" s="60"/>
      <c r="G42" s="61">
        <v>4</v>
      </c>
      <c r="H42" s="38">
        <v>86</v>
      </c>
      <c r="I42" s="1">
        <v>1550</v>
      </c>
      <c r="J42" s="2">
        <f t="shared" si="0"/>
        <v>1500</v>
      </c>
      <c r="K42" s="14">
        <f>IF($B$5&lt;=8,"UDEN FOR OMRÅDET",IF($B$5&gt;=401,"UDEN FOR OMRÅDET",$B$5))</f>
        <v>20</v>
      </c>
    </row>
    <row r="43" spans="1:12" hidden="1" x14ac:dyDescent="0.2">
      <c r="A43" s="13" t="s">
        <v>106</v>
      </c>
      <c r="B43" s="53"/>
      <c r="C43" s="53"/>
      <c r="D43" s="7"/>
      <c r="E43" s="59"/>
      <c r="F43" s="60"/>
      <c r="G43" s="61">
        <v>4</v>
      </c>
      <c r="H43" s="38">
        <v>102</v>
      </c>
      <c r="I43" s="1">
        <v>1930</v>
      </c>
      <c r="J43" s="2">
        <f t="shared" si="0"/>
        <v>1500</v>
      </c>
      <c r="K43" s="14">
        <f>IF($B$5&lt;=11,"UDEN FOR OMRÅDET",IF($B$5&gt;=401,"UDEN FOR OMRÅDET",$B$5))</f>
        <v>20</v>
      </c>
    </row>
    <row r="44" spans="1:12" hidden="1" x14ac:dyDescent="0.2">
      <c r="A44" s="13" t="s">
        <v>109</v>
      </c>
      <c r="B44" s="53"/>
      <c r="C44" s="53"/>
      <c r="D44" s="7"/>
      <c r="E44" s="59"/>
      <c r="F44" s="60"/>
      <c r="G44" s="61">
        <v>3.9</v>
      </c>
      <c r="H44" s="38">
        <v>95</v>
      </c>
      <c r="I44" s="1">
        <v>2000</v>
      </c>
      <c r="J44" s="2">
        <f t="shared" si="0"/>
        <v>1500</v>
      </c>
      <c r="K44" s="14">
        <f>IF($B$5&lt;=11,"UDEN FOR OMRÅDET",IF($B$5&gt;=401,"UDEN FOR OMRÅDET",$B$5))</f>
        <v>20</v>
      </c>
    </row>
    <row r="45" spans="1:12" hidden="1" x14ac:dyDescent="0.2">
      <c r="A45" s="13" t="s">
        <v>111</v>
      </c>
      <c r="B45" s="53"/>
      <c r="C45" s="53"/>
      <c r="D45" s="7"/>
      <c r="E45" s="59"/>
      <c r="F45" s="60"/>
      <c r="G45" s="61">
        <v>4.2</v>
      </c>
      <c r="H45" s="38">
        <v>137</v>
      </c>
      <c r="I45" s="1">
        <v>2400</v>
      </c>
      <c r="J45" s="2">
        <f t="shared" si="0"/>
        <v>1500</v>
      </c>
      <c r="K45" s="14">
        <f>IF($B$5&lt;=8,"UDEN FOR OMRÅDET",IF($B$5&gt;=401,"UDEN FOR OMRÅDET",$B$5))</f>
        <v>20</v>
      </c>
    </row>
    <row r="46" spans="1:12" hidden="1" x14ac:dyDescent="0.2">
      <c r="A46" s="13" t="s">
        <v>658</v>
      </c>
      <c r="B46" s="53"/>
      <c r="C46" s="53"/>
      <c r="D46" s="7"/>
      <c r="E46" s="59"/>
      <c r="F46" s="60"/>
      <c r="G46" s="61">
        <v>5.4</v>
      </c>
      <c r="H46" s="38">
        <v>150</v>
      </c>
      <c r="I46" s="1">
        <v>1930</v>
      </c>
      <c r="J46" s="2">
        <f t="shared" si="0"/>
        <v>1500</v>
      </c>
      <c r="K46" s="14">
        <f>IF($B$5&lt;=8,"UDEN FOR OMRÅDET",IF($B$5&gt;=401,"UDEN FOR OMRÅDET",$B$5))</f>
        <v>20</v>
      </c>
    </row>
    <row r="47" spans="1:12" hidden="1" x14ac:dyDescent="0.2">
      <c r="A47" s="13" t="s">
        <v>89</v>
      </c>
      <c r="B47" s="53"/>
      <c r="C47" s="53"/>
      <c r="D47" s="7"/>
      <c r="E47" s="59"/>
      <c r="F47" s="60"/>
      <c r="G47" s="61">
        <v>10.9</v>
      </c>
      <c r="H47" s="38">
        <v>200</v>
      </c>
      <c r="I47" s="1">
        <v>5000</v>
      </c>
      <c r="J47" s="2">
        <f t="shared" si="0"/>
        <v>1500</v>
      </c>
      <c r="K47" s="14">
        <f>IF($B$5&lt;=13,"UDEN FOR OMRÅDET",IF($B$5&gt;=401,"UDEN FOR OMRÅDET",$B$5))</f>
        <v>20</v>
      </c>
    </row>
    <row r="48" spans="1:12" hidden="1" x14ac:dyDescent="0.2">
      <c r="A48" s="13" t="s">
        <v>92</v>
      </c>
      <c r="B48" s="53"/>
      <c r="C48" s="53"/>
      <c r="D48" s="7"/>
      <c r="E48" s="62"/>
      <c r="F48" s="63"/>
      <c r="G48" s="64">
        <v>18</v>
      </c>
      <c r="H48" s="2">
        <v>719</v>
      </c>
      <c r="I48" s="2">
        <v>7400</v>
      </c>
      <c r="J48" s="2">
        <f t="shared" si="0"/>
        <v>1500</v>
      </c>
      <c r="K48" s="14">
        <f>IF($B$5&lt;=14,"UDEN FOR OMRÅDET",IF($B$5&gt;=401,"UDEN FOR OMRÅDET",$B$5))</f>
        <v>20</v>
      </c>
    </row>
    <row r="49" spans="1:11" ht="13.5" hidden="1" thickBot="1" x14ac:dyDescent="0.25">
      <c r="A49" s="15" t="s">
        <v>95</v>
      </c>
      <c r="B49" s="54"/>
      <c r="C49" s="54"/>
      <c r="D49" s="39"/>
      <c r="E49" s="65"/>
      <c r="F49" s="66"/>
      <c r="G49" s="67">
        <v>20.3</v>
      </c>
      <c r="H49" s="17">
        <v>900</v>
      </c>
      <c r="I49" s="17">
        <v>10350</v>
      </c>
      <c r="J49" s="17">
        <f t="shared" si="0"/>
        <v>1500</v>
      </c>
      <c r="K49" s="18">
        <f>IF($B$5&lt;=16,"UDEN FOR OMRÅDET",IF($B$5&gt;=401,"UDEN FOR OMRÅDET",$B$5))</f>
        <v>20</v>
      </c>
    </row>
    <row r="50" spans="1:11" ht="13.5" hidden="1" thickTop="1" x14ac:dyDescent="0.2">
      <c r="A50" s="8"/>
      <c r="B50" s="8"/>
      <c r="C50" s="8"/>
    </row>
    <row r="53" spans="1:11" x14ac:dyDescent="0.2">
      <c r="E53" s="27"/>
    </row>
  </sheetData>
  <sheetProtection sheet="1" objects="1" scenarios="1"/>
  <mergeCells count="6">
    <mergeCell ref="A1:K1"/>
    <mergeCell ref="A9:A10"/>
    <mergeCell ref="B9:C9"/>
    <mergeCell ref="D9:F9"/>
    <mergeCell ref="A37:K37"/>
    <mergeCell ref="A2:K2"/>
  </mergeCells>
  <pageMargins left="0.59055118110236227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6F5C1-CD61-440C-A3C0-8E7303D65BBB}">
  <dimension ref="A1:P145"/>
  <sheetViews>
    <sheetView showGridLines="0" zoomScaleNormal="100" workbookViewId="0">
      <selection activeCell="K30" sqref="K30"/>
    </sheetView>
  </sheetViews>
  <sheetFormatPr defaultColWidth="8.85546875" defaultRowHeight="12.75" x14ac:dyDescent="0.2"/>
  <cols>
    <col min="1" max="1" width="25" bestFit="1" customWidth="1"/>
    <col min="2" max="2" width="14.28515625" customWidth="1"/>
    <col min="3" max="16" width="15.7109375" customWidth="1"/>
  </cols>
  <sheetData>
    <row r="1" spans="1:9" ht="21" thickTop="1" x14ac:dyDescent="0.3">
      <c r="A1" s="880" t="s">
        <v>847</v>
      </c>
      <c r="B1" s="881"/>
      <c r="C1" s="881"/>
      <c r="D1" s="881"/>
      <c r="E1" s="881"/>
      <c r="F1" s="881"/>
      <c r="G1" s="881"/>
      <c r="H1" s="892"/>
      <c r="I1" s="5"/>
    </row>
    <row r="2" spans="1:9" ht="21" thickBot="1" x14ac:dyDescent="0.35">
      <c r="A2" s="889" t="s">
        <v>803</v>
      </c>
      <c r="B2" s="890"/>
      <c r="C2" s="890"/>
      <c r="D2" s="890"/>
      <c r="E2" s="890"/>
      <c r="F2" s="890"/>
      <c r="G2" s="890"/>
      <c r="H2" s="891"/>
      <c r="I2" s="5"/>
    </row>
    <row r="3" spans="1:9" ht="13.5" thickTop="1" x14ac:dyDescent="0.2">
      <c r="A3" s="32"/>
      <c r="B3" s="25"/>
      <c r="H3" s="23"/>
    </row>
    <row r="4" spans="1:9" x14ac:dyDescent="0.2">
      <c r="A4" s="24"/>
      <c r="B4" s="19" t="s">
        <v>25</v>
      </c>
      <c r="H4" s="23"/>
    </row>
    <row r="5" spans="1:9" x14ac:dyDescent="0.2">
      <c r="A5" s="703" t="s">
        <v>804</v>
      </c>
      <c r="B5" s="33">
        <v>15</v>
      </c>
      <c r="C5" s="26" t="s">
        <v>846</v>
      </c>
      <c r="H5" s="23"/>
    </row>
    <row r="6" spans="1:9" x14ac:dyDescent="0.2">
      <c r="A6" s="703" t="s">
        <v>806</v>
      </c>
      <c r="B6" s="33">
        <v>4</v>
      </c>
      <c r="E6" s="25"/>
      <c r="H6" s="23"/>
    </row>
    <row r="7" spans="1:9" x14ac:dyDescent="0.2">
      <c r="A7" s="24"/>
      <c r="E7" s="25"/>
      <c r="H7" s="23"/>
    </row>
    <row r="8" spans="1:9" x14ac:dyDescent="0.2">
      <c r="A8" s="24"/>
      <c r="E8" s="25"/>
      <c r="H8" s="23"/>
    </row>
    <row r="9" spans="1:9" x14ac:dyDescent="0.2">
      <c r="A9" s="24"/>
      <c r="E9" s="25"/>
      <c r="H9" s="23"/>
    </row>
    <row r="10" spans="1:9" x14ac:dyDescent="0.2">
      <c r="A10" s="24"/>
      <c r="H10" s="23"/>
    </row>
    <row r="11" spans="1:9" x14ac:dyDescent="0.2">
      <c r="A11" s="24"/>
      <c r="H11" s="23"/>
    </row>
    <row r="12" spans="1:9" x14ac:dyDescent="0.2">
      <c r="A12" s="24"/>
      <c r="H12" s="23"/>
    </row>
    <row r="13" spans="1:9" ht="13.5" thickBot="1" x14ac:dyDescent="0.25">
      <c r="A13" s="24"/>
      <c r="H13" s="23"/>
    </row>
    <row r="14" spans="1:9" ht="13.5" thickTop="1" x14ac:dyDescent="0.2">
      <c r="A14" s="893" t="s">
        <v>24</v>
      </c>
      <c r="B14" s="11" t="s">
        <v>60</v>
      </c>
      <c r="C14" s="705" t="s">
        <v>807</v>
      </c>
      <c r="H14" s="23"/>
    </row>
    <row r="15" spans="1:9" ht="14.25" x14ac:dyDescent="0.2">
      <c r="A15" s="959"/>
      <c r="B15" s="692" t="s">
        <v>845</v>
      </c>
      <c r="C15" s="706" t="s">
        <v>845</v>
      </c>
      <c r="H15" s="23"/>
    </row>
    <row r="16" spans="1:9" x14ac:dyDescent="0.2">
      <c r="A16" s="744" t="s">
        <v>707</v>
      </c>
      <c r="B16" s="692" t="s">
        <v>733</v>
      </c>
      <c r="C16" s="745">
        <f>IF($B$6&lt;0.6,"NOT POSSIBLE",IF($B$6&gt;4,"NOT POSSIBLE",((VLOOKUP($B$6,A46:B63,2)))*(($B$5/100)^0.5)*1))</f>
        <v>8.2881843608838714</v>
      </c>
      <c r="H16" s="23"/>
    </row>
    <row r="17" spans="1:13" x14ac:dyDescent="0.2">
      <c r="A17" s="742" t="s">
        <v>706</v>
      </c>
      <c r="B17" s="741" t="s">
        <v>734</v>
      </c>
      <c r="C17" s="745">
        <f>IF($B$6&lt;0.6,"NOT POSSIBLE",IF($B$6&gt;4,"NOT POSSIBLE",((VLOOKUP($B$6,C46:D63,2)))*(($B$5/100)^0.5)*1))</f>
        <v>15.337014050996348</v>
      </c>
      <c r="H17" s="23"/>
      <c r="M17" s="710"/>
    </row>
    <row r="18" spans="1:13" x14ac:dyDescent="0.2">
      <c r="A18" s="744" t="s">
        <v>705</v>
      </c>
      <c r="B18" s="743" t="s">
        <v>735</v>
      </c>
      <c r="C18" s="745">
        <f>IF($B$6&lt;0.6,"NOT POSSIBLE",IF($B$6&gt;4,"NOT POSSIBLE",((VLOOKUP($B$6,E46:F63,2)))*(($B$5/100)^0.5)*1))</f>
        <v>15.143364883571406</v>
      </c>
      <c r="H18" s="23"/>
      <c r="M18" s="710"/>
    </row>
    <row r="19" spans="1:13" x14ac:dyDescent="0.2">
      <c r="A19" s="742" t="s">
        <v>708</v>
      </c>
      <c r="B19" s="746" t="s">
        <v>736</v>
      </c>
      <c r="C19" s="745">
        <f>IF($B$6&lt;0.6,"NOT POSSIBLE",IF($B$6&gt;4,"NOT POSSIBLE",((VLOOKUP($B$6,G46:H63,2)))*(($B$5/100)^0.5)*1))</f>
        <v>17.196046057160931</v>
      </c>
      <c r="H19" s="23"/>
      <c r="M19" s="710"/>
    </row>
    <row r="20" spans="1:13" x14ac:dyDescent="0.2">
      <c r="A20" s="744" t="s">
        <v>709</v>
      </c>
      <c r="B20" s="743" t="s">
        <v>737</v>
      </c>
      <c r="C20" s="745">
        <f>IF($B$6&lt;0.6,"NOT POSSIBLE",IF($B$6&gt;4,"NOT POSSIBLE",((VLOOKUP($B$6,I46:J63,2)))*(($B$5/100)^0.5)*1))</f>
        <v>15.220824550595148</v>
      </c>
      <c r="H20" s="23"/>
    </row>
    <row r="21" spans="1:13" x14ac:dyDescent="0.2">
      <c r="A21" s="742" t="s">
        <v>712</v>
      </c>
      <c r="B21" s="741" t="s">
        <v>738</v>
      </c>
      <c r="C21" s="745">
        <f>IF($B$6&lt;0.6,"NOT POSSIBLE",IF($B$6&gt;4,"NOT POSSIBLE",((VLOOKUP($B$6,K46:L63,2)))*(($B$5/100)^0.5)*1))</f>
        <v>20.914110069466062</v>
      </c>
      <c r="H21" s="23"/>
    </row>
    <row r="22" spans="1:13" x14ac:dyDescent="0.2">
      <c r="A22" s="744" t="s">
        <v>713</v>
      </c>
      <c r="B22" s="743" t="s">
        <v>739</v>
      </c>
      <c r="C22" s="745">
        <f>IF($B$6&lt;0.6,"NOT POSSIBLE",IF($B$6&gt;4,"NOT POSSIBLE",((VLOOKUP($B$6,M46:N63,2)))*(($B$5/100)^0.5)*1))</f>
        <v>21.030299569808534</v>
      </c>
      <c r="H22" s="23"/>
    </row>
    <row r="23" spans="1:13" x14ac:dyDescent="0.2">
      <c r="A23" s="742" t="s">
        <v>710</v>
      </c>
      <c r="B23" s="746" t="s">
        <v>738</v>
      </c>
      <c r="C23" s="745">
        <f>IF($B$6&lt;0.6,"NOT POSSIBLE",IF($B$6&gt;4,"NOT POSSIBLE",((VLOOKUP($B$6,A67:B84,2)))*(($B$5/100)^0.5)*1))</f>
        <v>20.952839902982127</v>
      </c>
      <c r="H23" s="23"/>
    </row>
    <row r="24" spans="1:13" x14ac:dyDescent="0.2">
      <c r="A24" s="744" t="s">
        <v>711</v>
      </c>
      <c r="B24" s="743" t="s">
        <v>739</v>
      </c>
      <c r="C24" s="745">
        <f>IF($B$6&lt;0.6,"NOT POSSIBLE",IF($B$6&gt;4,"NOT POSSIBLE",((VLOOKUP($B$6,C67:D84,2)))*(($B$5/100)^0.5)*1))</f>
        <v>20.25570290066479</v>
      </c>
      <c r="H24" s="23"/>
    </row>
    <row r="25" spans="1:13" x14ac:dyDescent="0.2">
      <c r="A25" s="742" t="s">
        <v>714</v>
      </c>
      <c r="B25" s="741" t="s">
        <v>740</v>
      </c>
      <c r="C25" s="745">
        <f>IF($B$6&lt;0.6,"NOT POSSIBLE",IF($B$6&gt;4,"NOT POSSIBLE",((VLOOKUP($B$6,E67:F84,2)))*(($B$5/100)^0.5)*1))</f>
        <v>29.124834763395008</v>
      </c>
      <c r="H25" s="23"/>
    </row>
    <row r="26" spans="1:13" x14ac:dyDescent="0.2">
      <c r="A26" s="744" t="s">
        <v>715</v>
      </c>
      <c r="B26" s="743" t="s">
        <v>741</v>
      </c>
      <c r="C26" s="745">
        <f>IF($B$6&lt;0.6,"NOT POSSIBLE",IF($B$6&gt;4,"NOT POSSIBLE",((VLOOKUP($B$6,G67:H84,2)))*(($B$5/100)^0.5)*1))</f>
        <v>29.202294430430296</v>
      </c>
      <c r="H26" s="23"/>
    </row>
    <row r="27" spans="1:13" x14ac:dyDescent="0.2">
      <c r="A27" s="742" t="s">
        <v>716</v>
      </c>
      <c r="B27" s="746" t="s">
        <v>740</v>
      </c>
      <c r="C27" s="708">
        <f>IF($B$6&lt;0.6,"NOT POSSIBLE",IF($B$6&gt;4,"NOT POSSIBLE",((VLOOKUP($B$6,I67:J84,2)))*(($B$5/100)^0.5)*1))</f>
        <v>30.751487768886893</v>
      </c>
      <c r="H27" s="23"/>
    </row>
    <row r="28" spans="1:13" ht="13.5" customHeight="1" x14ac:dyDescent="0.2">
      <c r="A28" s="744" t="s">
        <v>717</v>
      </c>
      <c r="B28" s="743" t="s">
        <v>741</v>
      </c>
      <c r="C28" s="708">
        <f>IF($B$6&lt;0.6,"NOT POSSIBLE",IF($B$6&gt;4,"NOT POSSIBLE",((VLOOKUP($B$6,K67:L84,2)))*(($B$5/100)^0.5)*1))</f>
        <v>29.434673431176371</v>
      </c>
      <c r="H28" s="23"/>
    </row>
    <row r="29" spans="1:13" ht="13.5" customHeight="1" x14ac:dyDescent="0.2">
      <c r="A29" s="742" t="s">
        <v>718</v>
      </c>
      <c r="B29" s="741" t="s">
        <v>742</v>
      </c>
      <c r="C29" s="708">
        <f>IF($B$6&lt;0.6,"NOT POSSIBLE",IF($B$6&gt;4,"NOT POSSIBLE",((VLOOKUP($B$6,M67:N84,2)))*(($B$5/100)^0.5)*1))</f>
        <v>65.066120216145464</v>
      </c>
      <c r="H29" s="23"/>
    </row>
    <row r="30" spans="1:13" ht="13.5" customHeight="1" x14ac:dyDescent="0.2">
      <c r="A30" s="744" t="s">
        <v>719</v>
      </c>
      <c r="B30" s="743" t="s">
        <v>743</v>
      </c>
      <c r="C30" s="708">
        <f>IF($B$6&lt;0.6,"NOT POSSIBLE",IF($B$6&gt;4,"NOT POSSIBLE",((VLOOKUP($B$6,O67:P84,2)))*(($B$5/100)^0.5)*1))</f>
        <v>68.939103562492306</v>
      </c>
      <c r="H30" s="23"/>
    </row>
    <row r="31" spans="1:13" ht="13.5" customHeight="1" x14ac:dyDescent="0.2">
      <c r="A31" s="742" t="s">
        <v>720</v>
      </c>
      <c r="B31" s="746" t="s">
        <v>742</v>
      </c>
      <c r="C31" s="708">
        <f>IF($B$6&lt;0.6,"NOT POSSIBLE",IF($B$6&gt;4,"NOT POSSIBLE",((VLOOKUP($B$6,A88:B105,2)))*(($B$5/100)^0.5)*1))</f>
        <v>58.482048527731997</v>
      </c>
      <c r="H31" s="23"/>
    </row>
    <row r="32" spans="1:13" ht="13.5" customHeight="1" x14ac:dyDescent="0.2">
      <c r="A32" s="744" t="s">
        <v>721</v>
      </c>
      <c r="B32" s="743" t="s">
        <v>743</v>
      </c>
      <c r="C32" s="708">
        <f>IF($B$6&lt;0.6,"NOT POSSIBLE",IF($B$6&gt;4,"NOT POSSIBLE",((VLOOKUP($B$6,C88:D105,2)))*(($B$5/100)^0.5)*1))</f>
        <v>69.32640189711276</v>
      </c>
      <c r="H32" s="23"/>
    </row>
    <row r="33" spans="1:14" ht="13.5" customHeight="1" x14ac:dyDescent="0.2">
      <c r="A33" s="742" t="s">
        <v>722</v>
      </c>
      <c r="B33" s="741" t="s">
        <v>744</v>
      </c>
      <c r="C33" s="708">
        <f>IF($B$6&lt;0.6,"NOT POSSIBLE",IF($B$6&gt;4,"NOT POSSIBLE",((VLOOKUP($B$6,E88:F105,2)))*(($B$5/100)^0.5)*1))</f>
        <v>85.592931951145118</v>
      </c>
      <c r="H33" s="23"/>
    </row>
    <row r="34" spans="1:14" ht="13.5" customHeight="1" x14ac:dyDescent="0.2">
      <c r="A34" s="744" t="s">
        <v>723</v>
      </c>
      <c r="B34" s="743" t="s">
        <v>745</v>
      </c>
      <c r="C34" s="708">
        <f>IF($B$6&lt;0.6,"NOT POSSIBLE",IF($B$6&gt;4,"NOT POSSIBLE",((VLOOKUP($B$6,G88:H105,2)))*(($B$5/100)^0.5)*1))</f>
        <v>86.367528620020423</v>
      </c>
      <c r="H34" s="23"/>
    </row>
    <row r="35" spans="1:14" ht="13.5" customHeight="1" x14ac:dyDescent="0.2">
      <c r="A35" s="742" t="s">
        <v>724</v>
      </c>
      <c r="B35" s="741" t="s">
        <v>746</v>
      </c>
      <c r="C35" s="708">
        <f>IF($B$6&lt;0.6,"NOT POSSIBLE",IF($B$6&gt;4,"NOT POSSIBLE",((VLOOKUP($B$6,A109:B126,2)))*(($B$5/100)^0.5)*1))</f>
        <v>104.95784868162539</v>
      </c>
      <c r="H35" s="23"/>
    </row>
    <row r="36" spans="1:14" ht="13.5" customHeight="1" x14ac:dyDescent="0.2">
      <c r="A36" s="744" t="s">
        <v>725</v>
      </c>
      <c r="B36" s="743" t="s">
        <v>747</v>
      </c>
      <c r="C36" s="708">
        <f>IF($B$6&lt;0.6,"NOT POSSIBLE",IF($B$6&gt;4,"NOT POSSIBLE",((VLOOKUP($B$6,C109:D126,2)))*(($B$5/100)^0.5)*1))</f>
        <v>107.2816386892582</v>
      </c>
      <c r="H36" s="23"/>
    </row>
    <row r="37" spans="1:14" ht="13.5" customHeight="1" x14ac:dyDescent="0.2">
      <c r="A37" s="742" t="s">
        <v>726</v>
      </c>
      <c r="B37" s="741" t="s">
        <v>748</v>
      </c>
      <c r="C37" s="708">
        <f>IF($B$6&lt;1,"NOT POSSIBLE",IF($B$6&gt;4,"NOT POSSIBLE",((VLOOKUP($B$6,A130:B145,2)))*(($B$5/100)^0.5)*1))</f>
        <v>156.46852718677161</v>
      </c>
      <c r="H37" s="23"/>
    </row>
    <row r="38" spans="1:14" ht="13.5" customHeight="1" x14ac:dyDescent="0.2">
      <c r="A38" s="744" t="s">
        <v>727</v>
      </c>
      <c r="B38" s="743" t="s">
        <v>749</v>
      </c>
      <c r="C38" s="708">
        <f>IF($B$6&lt;1,"NOT POSSIBLE",IF($B$6&gt;4,"NOT POSSIBLE",((VLOOKUP($B$6,C130:D145,2)))*(($B$5/100)^0.5)*1))</f>
        <v>158.40501885987439</v>
      </c>
      <c r="H38" s="23"/>
    </row>
    <row r="39" spans="1:14" ht="13.5" customHeight="1" x14ac:dyDescent="0.2">
      <c r="A39" s="742" t="s">
        <v>728</v>
      </c>
      <c r="B39" s="741" t="s">
        <v>750</v>
      </c>
      <c r="C39" s="708">
        <f>IF($B$6&lt;1,"NOT POSSIBLE",IF($B$6&gt;4,"NOT POSSIBLE",((VLOOKUP($B$6,E130:F145,2)))*(($B$5/100)^0.5)*1))</f>
        <v>270.72153589986146</v>
      </c>
      <c r="H39" s="23"/>
    </row>
    <row r="40" spans="1:14" ht="13.5" customHeight="1" x14ac:dyDescent="0.2">
      <c r="A40" s="744" t="s">
        <v>729</v>
      </c>
      <c r="B40" s="743" t="s">
        <v>751</v>
      </c>
      <c r="C40" s="708">
        <f>IF($B$6&lt;1,"NOT POSSIBLE",IF($B$6&gt;4,"NOT POSSIBLE",((VLOOKUP($B$6,G130:H145,2)))*(($B$5/100)^0.5)*1))</f>
        <v>289.69915429631561</v>
      </c>
      <c r="H40" s="23"/>
    </row>
    <row r="41" spans="1:14" ht="13.5" customHeight="1" x14ac:dyDescent="0.2">
      <c r="A41" s="742" t="s">
        <v>730</v>
      </c>
      <c r="B41" s="741" t="s">
        <v>750</v>
      </c>
      <c r="C41" s="708">
        <f>IF($B$6&lt;1,"NOT POSSIBLE",IF($B$6&gt;4,"NOT POSSIBLE",((VLOOKUP($B$6,I130:J145,2)))*(($B$5/100)^0.5)*1))</f>
        <v>269.9469392306371</v>
      </c>
      <c r="H41" s="23"/>
    </row>
    <row r="42" spans="1:14" ht="13.5" customHeight="1" thickBot="1" x14ac:dyDescent="0.25">
      <c r="A42" s="497" t="s">
        <v>731</v>
      </c>
      <c r="B42" s="740" t="s">
        <v>751</v>
      </c>
      <c r="C42" s="739">
        <f>IF($B$6&lt;1,"NOT POSSIBLE",IF($B$6&gt;4,"NOT POSSIBLE",((VLOOKUP($B$6,K130:L145,2)))*(($B$5/100)^0.5)*1))</f>
        <v>288.9245576270169</v>
      </c>
      <c r="D42" s="30"/>
      <c r="E42" s="30"/>
      <c r="F42" s="30"/>
      <c r="G42" s="30"/>
      <c r="H42" s="31"/>
    </row>
    <row r="43" spans="1:14" ht="13.5" customHeight="1" thickTop="1" x14ac:dyDescent="0.2">
      <c r="A43" s="738"/>
      <c r="B43" s="737"/>
      <c r="C43" s="737"/>
    </row>
    <row r="44" spans="1:14" ht="13.5" hidden="1" thickTop="1" x14ac:dyDescent="0.2">
      <c r="A44" s="1042" t="s">
        <v>844</v>
      </c>
      <c r="B44" s="1043"/>
      <c r="C44" s="1133" t="s">
        <v>843</v>
      </c>
      <c r="D44" s="1133"/>
      <c r="E44" s="1133" t="s">
        <v>842</v>
      </c>
      <c r="F44" s="1043"/>
      <c r="G44" s="1133" t="s">
        <v>841</v>
      </c>
      <c r="H44" s="1043"/>
      <c r="I44" s="1133" t="s">
        <v>840</v>
      </c>
      <c r="J44" s="1043"/>
      <c r="K44" s="1133" t="s">
        <v>839</v>
      </c>
      <c r="L44" s="1043"/>
      <c r="M44" s="1131" t="s">
        <v>838</v>
      </c>
      <c r="N44" s="1132"/>
    </row>
    <row r="45" spans="1:14" hidden="1" x14ac:dyDescent="0.2">
      <c r="A45" s="697" t="s">
        <v>790</v>
      </c>
      <c r="B45" s="702" t="s">
        <v>753</v>
      </c>
      <c r="C45" s="702" t="s">
        <v>790</v>
      </c>
      <c r="D45" s="702" t="s">
        <v>753</v>
      </c>
      <c r="E45" s="702" t="s">
        <v>790</v>
      </c>
      <c r="F45" s="702" t="s">
        <v>753</v>
      </c>
      <c r="G45" s="702" t="s">
        <v>790</v>
      </c>
      <c r="H45" s="702" t="s">
        <v>753</v>
      </c>
      <c r="I45" s="702" t="s">
        <v>790</v>
      </c>
      <c r="J45" s="702" t="s">
        <v>753</v>
      </c>
      <c r="K45" s="702" t="s">
        <v>790</v>
      </c>
      <c r="L45" s="702" t="s">
        <v>753</v>
      </c>
      <c r="M45" s="702" t="s">
        <v>790</v>
      </c>
      <c r="N45" s="695" t="s">
        <v>753</v>
      </c>
    </row>
    <row r="46" spans="1:14" hidden="1" x14ac:dyDescent="0.2">
      <c r="A46" s="697">
        <v>0.6</v>
      </c>
      <c r="B46" s="736">
        <v>4.66</v>
      </c>
      <c r="C46" s="702">
        <v>0.6</v>
      </c>
      <c r="D46" s="736">
        <v>9.1900000000355284</v>
      </c>
      <c r="E46" s="702">
        <v>0.6</v>
      </c>
      <c r="F46" s="736">
        <v>9.6800000000346067</v>
      </c>
      <c r="G46" s="702">
        <v>0.6</v>
      </c>
      <c r="H46" s="736">
        <v>9.89</v>
      </c>
      <c r="I46" s="702">
        <v>0.6</v>
      </c>
      <c r="J46" s="736">
        <v>9.44</v>
      </c>
      <c r="K46" s="702">
        <v>0.6</v>
      </c>
      <c r="L46" s="736">
        <v>11.60000000004764</v>
      </c>
      <c r="M46" s="702">
        <v>0.6</v>
      </c>
      <c r="N46" s="809">
        <v>10.900000000049198</v>
      </c>
    </row>
    <row r="47" spans="1:14" hidden="1" x14ac:dyDescent="0.2">
      <c r="A47" s="697">
        <v>0.8</v>
      </c>
      <c r="B47" s="736">
        <v>5.87</v>
      </c>
      <c r="C47" s="702">
        <v>0.8</v>
      </c>
      <c r="D47" s="736">
        <v>11.690366386591114</v>
      </c>
      <c r="E47" s="702">
        <v>0.8</v>
      </c>
      <c r="F47" s="736">
        <v>11.94590252104463</v>
      </c>
      <c r="G47" s="702">
        <v>0.8</v>
      </c>
      <c r="H47" s="732">
        <v>12.3</v>
      </c>
      <c r="I47" s="702">
        <v>0.8</v>
      </c>
      <c r="J47" s="732">
        <v>11.9</v>
      </c>
      <c r="K47" s="702">
        <v>0.8</v>
      </c>
      <c r="L47" s="736">
        <v>14.778003361396149</v>
      </c>
      <c r="M47" s="702">
        <v>0.8</v>
      </c>
      <c r="N47" s="809">
        <v>13.595569747946531</v>
      </c>
    </row>
    <row r="48" spans="1:14" hidden="1" x14ac:dyDescent="0.2">
      <c r="A48" s="697">
        <v>1</v>
      </c>
      <c r="B48" s="736">
        <v>7.11</v>
      </c>
      <c r="C48" s="702">
        <v>1</v>
      </c>
      <c r="D48" s="736">
        <v>13.90000000003651</v>
      </c>
      <c r="E48" s="702">
        <v>1</v>
      </c>
      <c r="F48" s="736">
        <v>14.100000000035536</v>
      </c>
      <c r="G48" s="702">
        <v>1</v>
      </c>
      <c r="H48" s="732">
        <v>14.4</v>
      </c>
      <c r="I48" s="702">
        <v>1</v>
      </c>
      <c r="J48" s="732">
        <v>14</v>
      </c>
      <c r="K48" s="702">
        <v>1</v>
      </c>
      <c r="L48" s="736">
        <v>17.500000000051728</v>
      </c>
      <c r="M48" s="702">
        <v>1</v>
      </c>
      <c r="N48" s="809">
        <v>16.000000000042263</v>
      </c>
    </row>
    <row r="49" spans="1:14" hidden="1" x14ac:dyDescent="0.2">
      <c r="A49" s="697">
        <v>1.2</v>
      </c>
      <c r="B49" s="736">
        <v>8.34</v>
      </c>
      <c r="C49" s="702">
        <v>1.2</v>
      </c>
      <c r="D49" s="736">
        <v>15.891270588271157</v>
      </c>
      <c r="E49" s="702">
        <v>1.2</v>
      </c>
      <c r="F49" s="736">
        <v>16.166964705915092</v>
      </c>
      <c r="G49" s="702">
        <v>1.2</v>
      </c>
      <c r="H49" s="732">
        <v>16.3</v>
      </c>
      <c r="I49" s="702">
        <v>1.2</v>
      </c>
      <c r="J49" s="732">
        <v>15.9</v>
      </c>
      <c r="K49" s="702">
        <v>1.2</v>
      </c>
      <c r="L49" s="736">
        <v>19.909552941225108</v>
      </c>
      <c r="M49" s="702">
        <v>1.2</v>
      </c>
      <c r="N49" s="809">
        <v>18.237223529445881</v>
      </c>
    </row>
    <row r="50" spans="1:14" hidden="1" x14ac:dyDescent="0.2">
      <c r="A50" s="697">
        <v>1.4</v>
      </c>
      <c r="B50" s="736">
        <v>9.5399999999999991</v>
      </c>
      <c r="C50" s="702">
        <v>1.4</v>
      </c>
      <c r="D50" s="736">
        <v>17.727401680707079</v>
      </c>
      <c r="E50" s="702">
        <v>1.4</v>
      </c>
      <c r="F50" s="736">
        <v>18.166984873977562</v>
      </c>
      <c r="G50" s="702">
        <v>1.4</v>
      </c>
      <c r="H50" s="732">
        <v>18</v>
      </c>
      <c r="I50" s="702">
        <v>1.4</v>
      </c>
      <c r="J50" s="732">
        <v>17.7</v>
      </c>
      <c r="K50" s="702">
        <v>1.4</v>
      </c>
      <c r="L50" s="736">
        <v>22.130379831975699</v>
      </c>
      <c r="M50" s="702">
        <v>1.4</v>
      </c>
      <c r="N50" s="809">
        <v>20.411381512628218</v>
      </c>
    </row>
    <row r="51" spans="1:14" hidden="1" x14ac:dyDescent="0.2">
      <c r="A51" s="697">
        <v>1.6</v>
      </c>
      <c r="B51" s="736">
        <v>10.7</v>
      </c>
      <c r="C51" s="702">
        <v>1.6</v>
      </c>
      <c r="D51" s="736">
        <v>19.462470588268854</v>
      </c>
      <c r="E51" s="702">
        <v>1.6</v>
      </c>
      <c r="F51" s="736">
        <v>20.115764705903707</v>
      </c>
      <c r="G51" s="702">
        <v>1.6</v>
      </c>
      <c r="H51" s="732">
        <v>19.7</v>
      </c>
      <c r="I51" s="702">
        <v>1.6</v>
      </c>
      <c r="J51" s="732">
        <v>19.5</v>
      </c>
      <c r="K51" s="702">
        <v>1.6</v>
      </c>
      <c r="L51" s="736">
        <v>24.266352941211565</v>
      </c>
      <c r="M51" s="702">
        <v>1.6</v>
      </c>
      <c r="N51" s="809">
        <v>22.606823529421458</v>
      </c>
    </row>
    <row r="52" spans="1:14" hidden="1" x14ac:dyDescent="0.2">
      <c r="A52" s="697">
        <v>1.8</v>
      </c>
      <c r="B52" s="736">
        <v>11.7</v>
      </c>
      <c r="C52" s="702">
        <v>1.8</v>
      </c>
      <c r="D52" s="736">
        <v>21.141408403393669</v>
      </c>
      <c r="E52" s="702">
        <v>1.8</v>
      </c>
      <c r="F52" s="736">
        <v>22.024524369760769</v>
      </c>
      <c r="G52" s="702">
        <v>1.8</v>
      </c>
      <c r="H52" s="732">
        <v>21.5</v>
      </c>
      <c r="I52" s="702">
        <v>1.8</v>
      </c>
      <c r="J52" s="732">
        <v>21.2</v>
      </c>
      <c r="K52" s="702">
        <v>1.8</v>
      </c>
      <c r="L52" s="736">
        <v>26.401499159689433</v>
      </c>
      <c r="M52" s="702">
        <v>1.8</v>
      </c>
      <c r="N52" s="809">
        <v>24.888107563019126</v>
      </c>
    </row>
    <row r="53" spans="1:14" hidden="1" x14ac:dyDescent="0.2">
      <c r="A53" s="697">
        <v>2</v>
      </c>
      <c r="B53" s="736">
        <v>12.7</v>
      </c>
      <c r="C53" s="702">
        <v>2</v>
      </c>
      <c r="D53" s="736">
        <v>22.800000000031229</v>
      </c>
      <c r="E53" s="702">
        <v>2</v>
      </c>
      <c r="F53" s="736">
        <v>23.9000000000025</v>
      </c>
      <c r="G53" s="702">
        <v>2</v>
      </c>
      <c r="H53" s="732">
        <v>23.4</v>
      </c>
      <c r="I53" s="702">
        <v>2</v>
      </c>
      <c r="J53" s="732">
        <v>22.9</v>
      </c>
      <c r="K53" s="702">
        <v>2</v>
      </c>
      <c r="L53" s="736">
        <v>28.600000000014703</v>
      </c>
      <c r="M53" s="702">
        <v>2</v>
      </c>
      <c r="N53" s="809">
        <v>27.299999999976109</v>
      </c>
    </row>
    <row r="54" spans="1:14" hidden="1" x14ac:dyDescent="0.2">
      <c r="A54" s="697">
        <v>2.2000000000000002</v>
      </c>
      <c r="B54" s="736">
        <v>13.6</v>
      </c>
      <c r="C54" s="702">
        <v>2.2000000000000002</v>
      </c>
      <c r="D54" s="736">
        <v>24.464884033643855</v>
      </c>
      <c r="E54" s="702">
        <v>2.2000000000000002</v>
      </c>
      <c r="F54" s="736">
        <v>25.74444369746913</v>
      </c>
      <c r="G54" s="702">
        <v>2.2000000000000002</v>
      </c>
      <c r="H54" s="732">
        <v>25.4</v>
      </c>
      <c r="I54" s="702">
        <v>2.2000000000000002</v>
      </c>
      <c r="J54" s="732">
        <v>24.7</v>
      </c>
      <c r="K54" s="702">
        <v>2.2000000000000002</v>
      </c>
      <c r="L54" s="736">
        <v>30.906191596641456</v>
      </c>
      <c r="M54" s="702">
        <v>2.2000000000000002</v>
      </c>
      <c r="N54" s="809">
        <v>29.867475630208652</v>
      </c>
    </row>
    <row r="55" spans="1:14" hidden="1" x14ac:dyDescent="0.2">
      <c r="A55" s="697">
        <v>2.4</v>
      </c>
      <c r="B55" s="736">
        <v>14.4</v>
      </c>
      <c r="C55" s="702">
        <v>2.4</v>
      </c>
      <c r="D55" s="736">
        <v>26.153552941206421</v>
      </c>
      <c r="E55" s="702">
        <v>2.4</v>
      </c>
      <c r="F55" s="736">
        <v>27.555623529387397</v>
      </c>
      <c r="G55" s="702">
        <v>2.4</v>
      </c>
      <c r="H55" s="732">
        <v>27.5</v>
      </c>
      <c r="I55" s="702">
        <v>2.4</v>
      </c>
      <c r="J55" s="732">
        <v>26.5</v>
      </c>
      <c r="K55" s="702">
        <v>2.4</v>
      </c>
      <c r="L55" s="736">
        <v>33.344564705872394</v>
      </c>
      <c r="M55" s="702">
        <v>2.4</v>
      </c>
      <c r="N55" s="809">
        <v>32.595717646994302</v>
      </c>
    </row>
    <row r="56" spans="1:14" hidden="1" x14ac:dyDescent="0.2">
      <c r="A56" s="697">
        <v>2.6</v>
      </c>
      <c r="B56" s="736">
        <v>15.1</v>
      </c>
      <c r="C56" s="702">
        <v>2.6</v>
      </c>
      <c r="D56" s="736">
        <v>27.874352941206379</v>
      </c>
      <c r="E56" s="702">
        <v>2.6</v>
      </c>
      <c r="F56" s="736">
        <v>29.326823529370508</v>
      </c>
      <c r="G56" s="702">
        <v>2.6</v>
      </c>
      <c r="H56" s="732">
        <v>29.8</v>
      </c>
      <c r="I56" s="702">
        <v>2.6</v>
      </c>
      <c r="J56" s="732">
        <v>28.3</v>
      </c>
      <c r="K56" s="702">
        <v>2.6</v>
      </c>
      <c r="L56" s="736">
        <v>35.919764705858981</v>
      </c>
      <c r="M56" s="702">
        <v>2.6</v>
      </c>
      <c r="N56" s="809">
        <v>35.470117646972028</v>
      </c>
    </row>
    <row r="57" spans="1:14" hidden="1" x14ac:dyDescent="0.2">
      <c r="A57" s="697">
        <v>2.8</v>
      </c>
      <c r="B57" s="736">
        <v>15.8</v>
      </c>
      <c r="C57" s="702">
        <v>2.8</v>
      </c>
      <c r="D57" s="736">
        <v>29.626484033643731</v>
      </c>
      <c r="E57" s="702">
        <v>2.8</v>
      </c>
      <c r="F57" s="736">
        <v>31.046843697418204</v>
      </c>
      <c r="G57" s="702">
        <v>2.8</v>
      </c>
      <c r="H57" s="732">
        <v>32.200000000000003</v>
      </c>
      <c r="I57" s="702">
        <v>2.8</v>
      </c>
      <c r="J57" s="732">
        <v>30.1</v>
      </c>
      <c r="K57" s="702">
        <v>2.8</v>
      </c>
      <c r="L57" s="736">
        <v>38.616591596601246</v>
      </c>
      <c r="M57" s="702">
        <v>2.8</v>
      </c>
      <c r="N57" s="809">
        <v>38.456275630142081</v>
      </c>
    </row>
    <row r="58" spans="1:14" hidden="1" x14ac:dyDescent="0.2">
      <c r="A58" s="697">
        <v>3</v>
      </c>
      <c r="B58" s="736">
        <v>16.5</v>
      </c>
      <c r="C58" s="702">
        <v>3</v>
      </c>
      <c r="D58" s="736">
        <v>31.400000000031095</v>
      </c>
      <c r="E58" s="702">
        <v>3</v>
      </c>
      <c r="F58" s="736">
        <v>32.699999999916692</v>
      </c>
      <c r="G58" s="702">
        <v>3</v>
      </c>
      <c r="H58" s="732">
        <v>34.6</v>
      </c>
      <c r="I58" s="702">
        <v>3</v>
      </c>
      <c r="J58" s="732">
        <v>32</v>
      </c>
      <c r="K58" s="702">
        <v>3</v>
      </c>
      <c r="L58" s="736">
        <v>41.399999999947944</v>
      </c>
      <c r="M58" s="702">
        <v>3</v>
      </c>
      <c r="N58" s="809">
        <v>41.499999999866127</v>
      </c>
    </row>
    <row r="59" spans="1:14" hidden="1" x14ac:dyDescent="0.2">
      <c r="A59" s="697">
        <v>3.2</v>
      </c>
      <c r="B59" s="736">
        <v>17.2</v>
      </c>
      <c r="C59" s="702">
        <v>3.2</v>
      </c>
      <c r="D59" s="736">
        <v>33.175808403393603</v>
      </c>
      <c r="E59" s="702">
        <v>3.2</v>
      </c>
      <c r="F59" s="736">
        <v>34.266124369638661</v>
      </c>
      <c r="G59" s="702">
        <v>3.2</v>
      </c>
      <c r="H59" s="732">
        <v>37</v>
      </c>
      <c r="I59" s="702">
        <v>3.2</v>
      </c>
      <c r="J59" s="732">
        <v>33.799999999999997</v>
      </c>
      <c r="K59" s="702">
        <v>3.2</v>
      </c>
      <c r="L59" s="736">
        <v>44.215099159596498</v>
      </c>
      <c r="M59" s="702">
        <v>3.2</v>
      </c>
      <c r="N59" s="809">
        <v>44.527307562867129</v>
      </c>
    </row>
    <row r="60" spans="1:14" hidden="1" x14ac:dyDescent="0.2">
      <c r="A60" s="697">
        <v>3.4</v>
      </c>
      <c r="B60" s="736">
        <v>18</v>
      </c>
      <c r="C60" s="702">
        <v>3.4</v>
      </c>
      <c r="D60" s="736">
        <v>34.92567058826905</v>
      </c>
      <c r="E60" s="702">
        <v>3.4</v>
      </c>
      <c r="F60" s="736">
        <v>35.720564705743328</v>
      </c>
      <c r="G60" s="702">
        <v>3.4</v>
      </c>
      <c r="H60" s="732">
        <v>39.299999999999997</v>
      </c>
      <c r="I60" s="702">
        <v>3.4</v>
      </c>
      <c r="J60" s="732">
        <v>35.5</v>
      </c>
      <c r="K60" s="702">
        <v>3.4</v>
      </c>
      <c r="L60" s="736">
        <v>46.987152941092937</v>
      </c>
      <c r="M60" s="702">
        <v>3.4</v>
      </c>
      <c r="N60" s="809">
        <v>47.444423529229418</v>
      </c>
    </row>
    <row r="61" spans="1:14" hidden="1" x14ac:dyDescent="0.2">
      <c r="A61" s="697">
        <v>3.6</v>
      </c>
      <c r="B61" s="736">
        <v>18.899999999999999</v>
      </c>
      <c r="C61" s="702">
        <v>3.6</v>
      </c>
      <c r="D61" s="736">
        <v>36.612201680707692</v>
      </c>
      <c r="E61" s="702">
        <v>3.6</v>
      </c>
      <c r="F61" s="736">
        <v>37.034184873776368</v>
      </c>
      <c r="G61" s="702">
        <v>3.6</v>
      </c>
      <c r="H61" s="732">
        <v>41.4</v>
      </c>
      <c r="I61" s="702">
        <v>3.6</v>
      </c>
      <c r="J61" s="732">
        <v>37.1</v>
      </c>
      <c r="K61" s="702">
        <v>3.6</v>
      </c>
      <c r="L61" s="736">
        <v>49.621579831832086</v>
      </c>
      <c r="M61" s="702">
        <v>3.6</v>
      </c>
      <c r="N61" s="809">
        <v>50.137781512398682</v>
      </c>
    </row>
    <row r="62" spans="1:14" hidden="1" x14ac:dyDescent="0.2">
      <c r="A62" s="697">
        <v>3.8</v>
      </c>
      <c r="B62" s="736">
        <v>20</v>
      </c>
      <c r="C62" s="702">
        <v>3.8</v>
      </c>
      <c r="D62" s="736">
        <v>38.188870588272401</v>
      </c>
      <c r="E62" s="702">
        <v>3.8</v>
      </c>
      <c r="F62" s="736">
        <v>38.173364705669982</v>
      </c>
      <c r="G62" s="702">
        <v>3.8</v>
      </c>
      <c r="H62" s="732">
        <v>43.1</v>
      </c>
      <c r="I62" s="702">
        <v>3.8</v>
      </c>
      <c r="J62" s="732">
        <v>38.299999999999997</v>
      </c>
      <c r="K62" s="702">
        <v>3.8</v>
      </c>
      <c r="L62" s="736">
        <v>52.003952941057243</v>
      </c>
      <c r="M62" s="702">
        <v>3.8</v>
      </c>
      <c r="N62" s="809">
        <v>52.474023529181956</v>
      </c>
    </row>
    <row r="63" spans="1:14" ht="13.5" hidden="1" thickBot="1" x14ac:dyDescent="0.25">
      <c r="A63" s="698">
        <v>4</v>
      </c>
      <c r="B63" s="735">
        <v>21.4</v>
      </c>
      <c r="C63" s="726">
        <v>4</v>
      </c>
      <c r="D63" s="735">
        <v>39.600000000038669</v>
      </c>
      <c r="E63" s="726">
        <v>4</v>
      </c>
      <c r="F63" s="735">
        <v>39.099999999742849</v>
      </c>
      <c r="G63" s="726">
        <v>4</v>
      </c>
      <c r="H63" s="734">
        <v>44.4</v>
      </c>
      <c r="I63" s="726">
        <v>4</v>
      </c>
      <c r="J63" s="734">
        <v>39.299999999999997</v>
      </c>
      <c r="K63" s="726">
        <v>4</v>
      </c>
      <c r="L63" s="735">
        <v>53.999999999860599</v>
      </c>
      <c r="M63" s="726">
        <v>4</v>
      </c>
      <c r="N63" s="810">
        <v>54.299999999747634</v>
      </c>
    </row>
    <row r="64" spans="1:14" ht="14.25" hidden="1" thickTop="1" thickBot="1" x14ac:dyDescent="0.25"/>
    <row r="65" spans="1:16" ht="13.5" hidden="1" thickTop="1" x14ac:dyDescent="0.2">
      <c r="A65" s="1042" t="s">
        <v>837</v>
      </c>
      <c r="B65" s="1043"/>
      <c r="C65" s="1133" t="s">
        <v>836</v>
      </c>
      <c r="D65" s="1043"/>
      <c r="E65" s="1133" t="s">
        <v>835</v>
      </c>
      <c r="F65" s="1133"/>
      <c r="G65" s="1133" t="s">
        <v>834</v>
      </c>
      <c r="H65" s="1043"/>
      <c r="I65" s="1133" t="s">
        <v>833</v>
      </c>
      <c r="J65" s="1043"/>
      <c r="K65" s="1133" t="s">
        <v>832</v>
      </c>
      <c r="L65" s="1043"/>
      <c r="M65" s="1133" t="s">
        <v>831</v>
      </c>
      <c r="N65" s="1133"/>
      <c r="O65" s="1133" t="s">
        <v>830</v>
      </c>
      <c r="P65" s="1134"/>
    </row>
    <row r="66" spans="1:16" hidden="1" x14ac:dyDescent="0.2">
      <c r="A66" s="697" t="s">
        <v>790</v>
      </c>
      <c r="B66" s="702" t="s">
        <v>753</v>
      </c>
      <c r="C66" s="702" t="s">
        <v>790</v>
      </c>
      <c r="D66" s="702" t="s">
        <v>753</v>
      </c>
      <c r="E66" s="702" t="s">
        <v>790</v>
      </c>
      <c r="F66" s="702" t="s">
        <v>753</v>
      </c>
      <c r="G66" s="702" t="s">
        <v>790</v>
      </c>
      <c r="H66" s="702" t="s">
        <v>753</v>
      </c>
      <c r="I66" s="702" t="s">
        <v>790</v>
      </c>
      <c r="J66" s="702" t="s">
        <v>753</v>
      </c>
      <c r="K66" s="702" t="s">
        <v>790</v>
      </c>
      <c r="L66" s="702" t="s">
        <v>753</v>
      </c>
      <c r="M66" s="702" t="s">
        <v>790</v>
      </c>
      <c r="N66" s="702" t="s">
        <v>753</v>
      </c>
      <c r="O66" s="702" t="s">
        <v>790</v>
      </c>
      <c r="P66" s="695" t="s">
        <v>753</v>
      </c>
    </row>
    <row r="67" spans="1:16" hidden="1" x14ac:dyDescent="0.2">
      <c r="A67" s="697">
        <v>0.6</v>
      </c>
      <c r="B67" s="702">
        <v>10.4</v>
      </c>
      <c r="C67" s="702">
        <v>0.6</v>
      </c>
      <c r="D67" s="702">
        <v>10.8</v>
      </c>
      <c r="E67" s="702">
        <v>0.6</v>
      </c>
      <c r="F67" s="805">
        <v>14.900000000066951</v>
      </c>
      <c r="G67" s="702">
        <v>0.6</v>
      </c>
      <c r="H67" s="805">
        <v>15.000000000066381</v>
      </c>
      <c r="I67" s="702">
        <v>0.6</v>
      </c>
      <c r="J67" s="732">
        <v>15.6</v>
      </c>
      <c r="K67" s="702">
        <v>0.6</v>
      </c>
      <c r="L67" s="732">
        <v>16.8</v>
      </c>
      <c r="M67" s="702">
        <v>0.6</v>
      </c>
      <c r="N67" s="805">
        <v>35.20000000015169</v>
      </c>
      <c r="O67" s="702">
        <v>0.6</v>
      </c>
      <c r="P67" s="805">
        <v>35.0000000001628</v>
      </c>
    </row>
    <row r="68" spans="1:16" hidden="1" x14ac:dyDescent="0.2">
      <c r="A68" s="697">
        <v>0.8</v>
      </c>
      <c r="B68" s="702">
        <v>12.8</v>
      </c>
      <c r="C68" s="702">
        <v>0.8</v>
      </c>
      <c r="D68" s="702">
        <v>13.2</v>
      </c>
      <c r="E68" s="702">
        <v>0.8</v>
      </c>
      <c r="F68" s="805">
        <v>18.793573109313208</v>
      </c>
      <c r="G68" s="702">
        <v>0.8</v>
      </c>
      <c r="H68" s="805">
        <v>19.930312605113315</v>
      </c>
      <c r="I68" s="702">
        <v>0.8</v>
      </c>
      <c r="J68" s="732">
        <v>19.2</v>
      </c>
      <c r="K68" s="702">
        <v>0.8</v>
      </c>
      <c r="L68" s="732">
        <v>19.899999999999999</v>
      </c>
      <c r="M68" s="702">
        <v>0.8</v>
      </c>
      <c r="N68" s="805">
        <v>43.380221848899822</v>
      </c>
      <c r="O68" s="702">
        <v>0.8</v>
      </c>
      <c r="P68" s="805">
        <v>43.013136134615038</v>
      </c>
    </row>
    <row r="69" spans="1:16" hidden="1" x14ac:dyDescent="0.2">
      <c r="A69" s="697">
        <v>1</v>
      </c>
      <c r="B69" s="702">
        <v>15.2</v>
      </c>
      <c r="C69" s="702">
        <v>1</v>
      </c>
      <c r="D69" s="702">
        <v>15.5</v>
      </c>
      <c r="E69" s="702">
        <v>1</v>
      </c>
      <c r="F69" s="805">
        <v>22.400000000066672</v>
      </c>
      <c r="G69" s="702">
        <v>1</v>
      </c>
      <c r="H69" s="805">
        <v>24.000000000071644</v>
      </c>
      <c r="I69" s="702">
        <v>1</v>
      </c>
      <c r="J69" s="732">
        <v>22.6</v>
      </c>
      <c r="K69" s="702">
        <v>1</v>
      </c>
      <c r="L69" s="732">
        <v>23.1</v>
      </c>
      <c r="M69" s="702">
        <v>1</v>
      </c>
      <c r="N69" s="805">
        <v>50.200000000159598</v>
      </c>
      <c r="O69" s="702">
        <v>1</v>
      </c>
      <c r="P69" s="805">
        <v>49.600000000152178</v>
      </c>
    </row>
    <row r="70" spans="1:16" hidden="1" x14ac:dyDescent="0.2">
      <c r="A70" s="697">
        <v>1.2</v>
      </c>
      <c r="B70" s="702">
        <v>17.5</v>
      </c>
      <c r="C70" s="702">
        <v>1.2</v>
      </c>
      <c r="D70" s="702">
        <v>17.899999999999999</v>
      </c>
      <c r="E70" s="702">
        <v>1.2</v>
      </c>
      <c r="F70" s="805">
        <v>25.822776470647259</v>
      </c>
      <c r="G70" s="702">
        <v>1.2</v>
      </c>
      <c r="H70" s="805">
        <v>27.492423529480234</v>
      </c>
      <c r="I70" s="702">
        <v>1.2</v>
      </c>
      <c r="J70" s="732">
        <v>26</v>
      </c>
      <c r="K70" s="702">
        <v>1.2</v>
      </c>
      <c r="L70" s="732">
        <v>26.3</v>
      </c>
      <c r="M70" s="702">
        <v>1.2</v>
      </c>
      <c r="N70" s="805">
        <v>56.082494117797602</v>
      </c>
      <c r="O70" s="702">
        <v>1.2</v>
      </c>
      <c r="P70" s="805">
        <v>55.348894117784326</v>
      </c>
    </row>
    <row r="71" spans="1:16" hidden="1" x14ac:dyDescent="0.2">
      <c r="A71" s="697">
        <v>1.4</v>
      </c>
      <c r="B71" s="702">
        <v>19.899999999999999</v>
      </c>
      <c r="C71" s="702">
        <v>1.4</v>
      </c>
      <c r="D71" s="702">
        <v>20.2</v>
      </c>
      <c r="E71" s="702">
        <v>1.4</v>
      </c>
      <c r="F71" s="805">
        <v>29.149761344584956</v>
      </c>
      <c r="G71" s="702">
        <v>1.4</v>
      </c>
      <c r="H71" s="805">
        <v>30.649324369810685</v>
      </c>
      <c r="I71" s="702">
        <v>1.4</v>
      </c>
      <c r="J71" s="732">
        <v>29.4</v>
      </c>
      <c r="K71" s="702">
        <v>1.4</v>
      </c>
      <c r="L71" s="732">
        <v>29.7</v>
      </c>
      <c r="M71" s="702">
        <v>1.4</v>
      </c>
      <c r="N71" s="805">
        <v>61.40506890769722</v>
      </c>
      <c r="O71" s="702">
        <v>1.4</v>
      </c>
      <c r="P71" s="805">
        <v>60.764383193395446</v>
      </c>
    </row>
    <row r="72" spans="1:16" hidden="1" x14ac:dyDescent="0.2">
      <c r="A72" s="697">
        <v>1.6</v>
      </c>
      <c r="B72" s="702">
        <v>22.2</v>
      </c>
      <c r="C72" s="702">
        <v>1.6</v>
      </c>
      <c r="D72" s="702">
        <v>22.7</v>
      </c>
      <c r="E72" s="702">
        <v>1.6</v>
      </c>
      <c r="F72" s="805">
        <v>32.453176470619859</v>
      </c>
      <c r="G72" s="702">
        <v>1.6</v>
      </c>
      <c r="H72" s="805">
        <v>33.670823529467256</v>
      </c>
      <c r="I72" s="702">
        <v>1.6</v>
      </c>
      <c r="J72" s="732">
        <v>33</v>
      </c>
      <c r="K72" s="702">
        <v>1.6</v>
      </c>
      <c r="L72" s="732">
        <v>33.1</v>
      </c>
      <c r="M72" s="702">
        <v>1.6</v>
      </c>
      <c r="N72" s="805">
        <v>66.499294117758581</v>
      </c>
      <c r="O72" s="702">
        <v>1.6</v>
      </c>
      <c r="P72" s="805">
        <v>66.267294117743333</v>
      </c>
    </row>
    <row r="73" spans="1:16" hidden="1" x14ac:dyDescent="0.2">
      <c r="A73" s="697">
        <v>1.8</v>
      </c>
      <c r="B73" s="702">
        <v>24.5</v>
      </c>
      <c r="C73" s="702">
        <v>1.8</v>
      </c>
      <c r="D73" s="702">
        <v>25.1</v>
      </c>
      <c r="E73" s="702">
        <v>1.8</v>
      </c>
      <c r="F73" s="805">
        <v>35.789606722702139</v>
      </c>
      <c r="G73" s="702">
        <v>1.8</v>
      </c>
      <c r="H73" s="805">
        <v>36.715421848786924</v>
      </c>
      <c r="I73" s="702">
        <v>1.8</v>
      </c>
      <c r="J73" s="732">
        <v>36.6</v>
      </c>
      <c r="K73" s="702">
        <v>1.8</v>
      </c>
      <c r="L73" s="732">
        <v>36.700000000000003</v>
      </c>
      <c r="M73" s="702">
        <v>1.8</v>
      </c>
      <c r="N73" s="805">
        <v>71.650944537898582</v>
      </c>
      <c r="O73" s="702">
        <v>1.8</v>
      </c>
      <c r="P73" s="805">
        <v>72.194715966459682</v>
      </c>
    </row>
    <row r="74" spans="1:16" hidden="1" x14ac:dyDescent="0.2">
      <c r="A74" s="697">
        <v>2</v>
      </c>
      <c r="B74" s="702">
        <v>26.9</v>
      </c>
      <c r="C74" s="702">
        <v>2</v>
      </c>
      <c r="D74" s="702">
        <v>27.6</v>
      </c>
      <c r="E74" s="702">
        <v>2</v>
      </c>
      <c r="F74" s="805">
        <v>39.199999999992045</v>
      </c>
      <c r="G74" s="702">
        <v>2</v>
      </c>
      <c r="H74" s="805">
        <v>39.900000000039356</v>
      </c>
      <c r="I74" s="702">
        <v>2</v>
      </c>
      <c r="J74" s="732">
        <v>40.5</v>
      </c>
      <c r="K74" s="702">
        <v>2</v>
      </c>
      <c r="L74" s="732">
        <v>40.5</v>
      </c>
      <c r="M74" s="702">
        <v>2</v>
      </c>
      <c r="N74" s="805">
        <v>77.100000000050898</v>
      </c>
      <c r="O74" s="702">
        <v>2</v>
      </c>
      <c r="P74" s="805">
        <v>78.80000000004982</v>
      </c>
    </row>
    <row r="75" spans="1:16" hidden="1" x14ac:dyDescent="0.2">
      <c r="A75" s="697">
        <v>2.2000000000000002</v>
      </c>
      <c r="B75" s="702">
        <v>29.3</v>
      </c>
      <c r="C75" s="702">
        <v>2.2000000000000002</v>
      </c>
      <c r="D75" s="702">
        <v>30.1</v>
      </c>
      <c r="E75" s="702">
        <v>2.2000000000000002</v>
      </c>
      <c r="F75" s="805">
        <v>42.709667226859942</v>
      </c>
      <c r="G75" s="702">
        <v>2.2000000000000002</v>
      </c>
      <c r="H75" s="805">
        <v>43.299818487426919</v>
      </c>
      <c r="I75" s="702">
        <v>2.2000000000000002</v>
      </c>
      <c r="J75" s="732">
        <v>44.5</v>
      </c>
      <c r="K75" s="702">
        <v>2.2000000000000002</v>
      </c>
      <c r="L75" s="732">
        <v>44.4</v>
      </c>
      <c r="M75" s="702">
        <v>2.2000000000000002</v>
      </c>
      <c r="N75" s="805">
        <v>83.040645378165948</v>
      </c>
      <c r="O75" s="702">
        <v>2.2000000000000002</v>
      </c>
      <c r="P75" s="805">
        <v>86.252759663893144</v>
      </c>
    </row>
    <row r="76" spans="1:16" hidden="1" x14ac:dyDescent="0.2">
      <c r="A76" s="697">
        <v>2.4</v>
      </c>
      <c r="B76" s="702">
        <v>31.7</v>
      </c>
      <c r="C76" s="702">
        <v>2.4</v>
      </c>
      <c r="D76" s="702">
        <v>32.700000000000003</v>
      </c>
      <c r="E76" s="702">
        <v>2.4</v>
      </c>
      <c r="F76" s="805">
        <v>46.328282352886262</v>
      </c>
      <c r="G76" s="702">
        <v>2.4</v>
      </c>
      <c r="H76" s="805">
        <v>46.948517647084614</v>
      </c>
      <c r="I76" s="702">
        <v>2.4</v>
      </c>
      <c r="J76" s="732">
        <v>48.7</v>
      </c>
      <c r="K76" s="702">
        <v>2.4</v>
      </c>
      <c r="L76" s="732">
        <v>48.4</v>
      </c>
      <c r="M76" s="702">
        <v>2.4</v>
      </c>
      <c r="N76" s="805">
        <v>89.621270588210848</v>
      </c>
      <c r="O76" s="702">
        <v>2.4</v>
      </c>
      <c r="P76" s="805">
        <v>94.638870588242682</v>
      </c>
    </row>
    <row r="77" spans="1:16" hidden="1" x14ac:dyDescent="0.2">
      <c r="A77" s="697">
        <v>2.6</v>
      </c>
      <c r="B77" s="702">
        <v>34.200000000000003</v>
      </c>
      <c r="C77" s="702">
        <v>2.6</v>
      </c>
      <c r="D77" s="702">
        <v>35.200000000000003</v>
      </c>
      <c r="E77" s="702">
        <v>2.6</v>
      </c>
      <c r="F77" s="805">
        <v>50.049882352861509</v>
      </c>
      <c r="G77" s="702">
        <v>2.6</v>
      </c>
      <c r="H77" s="805">
        <v>50.838117647080281</v>
      </c>
      <c r="I77" s="702">
        <v>2.6</v>
      </c>
      <c r="J77" s="732">
        <v>53</v>
      </c>
      <c r="K77" s="702">
        <v>2.6</v>
      </c>
      <c r="L77" s="732">
        <v>52.4</v>
      </c>
      <c r="M77" s="702">
        <v>2.6</v>
      </c>
      <c r="N77" s="805">
        <v>96.944470588169708</v>
      </c>
      <c r="O77" s="702">
        <v>2.6</v>
      </c>
      <c r="P77" s="807">
        <v>103.96047058822545</v>
      </c>
    </row>
    <row r="78" spans="1:16" hidden="1" x14ac:dyDescent="0.2">
      <c r="A78" s="697">
        <v>2.8</v>
      </c>
      <c r="B78" s="702">
        <v>36.799999999999997</v>
      </c>
      <c r="C78" s="702">
        <v>2.8</v>
      </c>
      <c r="D78" s="702">
        <v>37.799999999999997</v>
      </c>
      <c r="E78" s="702">
        <v>2.8</v>
      </c>
      <c r="F78" s="805">
        <v>53.852867226786309</v>
      </c>
      <c r="G78" s="702">
        <v>2.8</v>
      </c>
      <c r="H78" s="805">
        <v>54.91901848741422</v>
      </c>
      <c r="I78" s="702">
        <v>2.8</v>
      </c>
      <c r="J78" s="732">
        <v>57.4</v>
      </c>
      <c r="K78" s="702">
        <v>2.8</v>
      </c>
      <c r="L78" s="732">
        <v>56.4</v>
      </c>
      <c r="M78" s="702">
        <v>2.8</v>
      </c>
      <c r="N78" s="807">
        <v>105.06704537804299</v>
      </c>
      <c r="O78" s="702">
        <v>2.8</v>
      </c>
      <c r="P78" s="807">
        <v>114.13595966384209</v>
      </c>
    </row>
    <row r="79" spans="1:16" hidden="1" x14ac:dyDescent="0.2">
      <c r="A79" s="697">
        <v>3</v>
      </c>
      <c r="B79" s="702">
        <v>39.4</v>
      </c>
      <c r="C79" s="702">
        <v>3</v>
      </c>
      <c r="D79" s="702">
        <v>40.4</v>
      </c>
      <c r="E79" s="702">
        <v>3</v>
      </c>
      <c r="F79" s="805">
        <v>57.699999999871388</v>
      </c>
      <c r="G79" s="702">
        <v>3</v>
      </c>
      <c r="H79" s="805">
        <v>59.100000000019705</v>
      </c>
      <c r="I79" s="702">
        <v>3</v>
      </c>
      <c r="J79" s="732">
        <v>61.8</v>
      </c>
      <c r="K79" s="702">
        <v>3</v>
      </c>
      <c r="L79" s="732">
        <v>60.4</v>
      </c>
      <c r="M79" s="702">
        <v>3</v>
      </c>
      <c r="N79" s="807">
        <v>113.9999999998484</v>
      </c>
      <c r="O79" s="702">
        <v>3</v>
      </c>
      <c r="P79" s="807">
        <v>124.99999999996727</v>
      </c>
    </row>
    <row r="80" spans="1:16" hidden="1" x14ac:dyDescent="0.2">
      <c r="A80" s="697">
        <v>3.2</v>
      </c>
      <c r="B80" s="702">
        <v>42.1</v>
      </c>
      <c r="C80" s="702">
        <v>3.2</v>
      </c>
      <c r="D80" s="702">
        <v>42.9</v>
      </c>
      <c r="E80" s="702">
        <v>3.2</v>
      </c>
      <c r="F80" s="805">
        <v>61.538406722537481</v>
      </c>
      <c r="G80" s="702">
        <v>3.2</v>
      </c>
      <c r="H80" s="805">
        <v>63.248221848762554</v>
      </c>
      <c r="I80" s="702">
        <v>3.2</v>
      </c>
      <c r="J80" s="732">
        <v>66.099999999999994</v>
      </c>
      <c r="K80" s="702">
        <v>3.2</v>
      </c>
      <c r="L80" s="732">
        <v>64.2</v>
      </c>
      <c r="M80" s="702">
        <v>3.2</v>
      </c>
      <c r="N80" s="807">
        <v>123.70854453762001</v>
      </c>
      <c r="O80" s="702">
        <v>3.2</v>
      </c>
      <c r="P80" s="807">
        <v>136.30351596634944</v>
      </c>
    </row>
    <row r="81" spans="1:16" hidden="1" x14ac:dyDescent="0.2">
      <c r="A81" s="697">
        <v>3.4</v>
      </c>
      <c r="B81" s="702">
        <v>44.9</v>
      </c>
      <c r="C81" s="702">
        <v>3.4</v>
      </c>
      <c r="D81" s="702">
        <v>45.4</v>
      </c>
      <c r="E81" s="702">
        <v>3.4</v>
      </c>
      <c r="F81" s="805">
        <v>65.299576470415502</v>
      </c>
      <c r="G81" s="702">
        <v>3.4</v>
      </c>
      <c r="H81" s="805">
        <v>67.189223529441236</v>
      </c>
      <c r="I81" s="702">
        <v>3.4</v>
      </c>
      <c r="J81" s="732">
        <v>70.099999999999994</v>
      </c>
      <c r="K81" s="702">
        <v>3.4</v>
      </c>
      <c r="L81" s="732">
        <v>67.8</v>
      </c>
      <c r="M81" s="702">
        <v>3.4</v>
      </c>
      <c r="N81" s="807">
        <v>134.11209411740896</v>
      </c>
      <c r="O81" s="702">
        <v>3.4</v>
      </c>
      <c r="P81" s="807">
        <v>147.713694117611</v>
      </c>
    </row>
    <row r="82" spans="1:16" hidden="1" x14ac:dyDescent="0.2">
      <c r="A82" s="697">
        <v>3.6</v>
      </c>
      <c r="B82" s="702">
        <v>47.9</v>
      </c>
      <c r="C82" s="702">
        <v>3.6</v>
      </c>
      <c r="D82" s="702">
        <v>47.8</v>
      </c>
      <c r="E82" s="702">
        <v>3.6</v>
      </c>
      <c r="F82" s="805">
        <v>68.899361344346417</v>
      </c>
      <c r="G82" s="702">
        <v>3.6</v>
      </c>
      <c r="H82" s="805">
        <v>70.706924369786961</v>
      </c>
      <c r="I82" s="702">
        <v>3.6</v>
      </c>
      <c r="J82" s="732">
        <v>73.8</v>
      </c>
      <c r="K82" s="702">
        <v>3.6</v>
      </c>
      <c r="L82" s="732">
        <v>71.099999999999994</v>
      </c>
      <c r="M82" s="702">
        <v>3.6</v>
      </c>
      <c r="N82" s="807">
        <v>145.08426890728288</v>
      </c>
      <c r="O82" s="702">
        <v>3.6</v>
      </c>
      <c r="P82" s="807">
        <v>158.81398319324796</v>
      </c>
    </row>
    <row r="83" spans="1:16" hidden="1" x14ac:dyDescent="0.2">
      <c r="A83" s="697">
        <v>3.8</v>
      </c>
      <c r="B83" s="702">
        <v>50.9</v>
      </c>
      <c r="C83" s="702">
        <v>3.8</v>
      </c>
      <c r="D83" s="702">
        <v>50.1</v>
      </c>
      <c r="E83" s="702">
        <v>3.8</v>
      </c>
      <c r="F83" s="805">
        <v>72.237976470381199</v>
      </c>
      <c r="G83" s="702">
        <v>3.8</v>
      </c>
      <c r="H83" s="805">
        <v>73.543623529463744</v>
      </c>
      <c r="I83" s="702">
        <v>3.8</v>
      </c>
      <c r="J83" s="732">
        <v>76.900000000000006</v>
      </c>
      <c r="K83" s="702">
        <v>3.8</v>
      </c>
      <c r="L83" s="732">
        <v>73.8</v>
      </c>
      <c r="M83" s="702">
        <v>3.8</v>
      </c>
      <c r="N83" s="807">
        <v>156.45289411732631</v>
      </c>
      <c r="O83" s="702">
        <v>3.8</v>
      </c>
      <c r="P83" s="807">
        <v>169.10409411762959</v>
      </c>
    </row>
    <row r="84" spans="1:16" ht="13.5" hidden="1" thickBot="1" x14ac:dyDescent="0.25">
      <c r="A84" s="698">
        <v>4</v>
      </c>
      <c r="B84" s="726">
        <v>54.1</v>
      </c>
      <c r="C84" s="726">
        <v>4</v>
      </c>
      <c r="D84" s="726">
        <v>52.3</v>
      </c>
      <c r="E84" s="726">
        <v>4</v>
      </c>
      <c r="F84" s="806">
        <v>75.199999999781127</v>
      </c>
      <c r="G84" s="726">
        <v>4</v>
      </c>
      <c r="H84" s="806">
        <v>75.40000000006809</v>
      </c>
      <c r="I84" s="726">
        <v>4</v>
      </c>
      <c r="J84" s="734">
        <v>79.400000000000006</v>
      </c>
      <c r="K84" s="726">
        <v>4</v>
      </c>
      <c r="L84" s="734">
        <v>76</v>
      </c>
      <c r="M84" s="726">
        <v>4</v>
      </c>
      <c r="N84" s="808">
        <v>167.99999999964075</v>
      </c>
      <c r="O84" s="726">
        <v>4</v>
      </c>
      <c r="P84" s="808">
        <v>178.00000000000074</v>
      </c>
    </row>
    <row r="85" spans="1:16" ht="14.25" hidden="1" thickTop="1" thickBot="1" x14ac:dyDescent="0.25"/>
    <row r="86" spans="1:16" ht="13.5" hidden="1" thickTop="1" x14ac:dyDescent="0.2">
      <c r="A86" s="1042" t="s">
        <v>829</v>
      </c>
      <c r="B86" s="1043"/>
      <c r="C86" s="1133" t="s">
        <v>828</v>
      </c>
      <c r="D86" s="1043"/>
      <c r="E86" s="1133" t="s">
        <v>827</v>
      </c>
      <c r="F86" s="1133"/>
      <c r="G86" s="1133" t="s">
        <v>826</v>
      </c>
      <c r="H86" s="1049"/>
      <c r="I86" s="1135"/>
      <c r="J86" s="1015"/>
      <c r="K86" s="1135"/>
      <c r="L86" s="1015"/>
      <c r="M86" s="733"/>
    </row>
    <row r="87" spans="1:16" hidden="1" x14ac:dyDescent="0.2">
      <c r="A87" s="697" t="s">
        <v>790</v>
      </c>
      <c r="B87" s="702" t="s">
        <v>753</v>
      </c>
      <c r="C87" s="702" t="s">
        <v>790</v>
      </c>
      <c r="D87" s="702" t="s">
        <v>753</v>
      </c>
      <c r="E87" s="702" t="s">
        <v>790</v>
      </c>
      <c r="F87" s="702" t="s">
        <v>753</v>
      </c>
      <c r="G87" s="702" t="s">
        <v>790</v>
      </c>
      <c r="H87" s="695" t="s">
        <v>753</v>
      </c>
      <c r="I87" s="103"/>
      <c r="J87" s="103"/>
      <c r="K87" s="103"/>
      <c r="L87" s="103"/>
      <c r="M87" s="103"/>
    </row>
    <row r="88" spans="1:16" hidden="1" x14ac:dyDescent="0.2">
      <c r="A88" s="697">
        <v>0.6</v>
      </c>
      <c r="B88" s="702">
        <v>32.4</v>
      </c>
      <c r="C88" s="702">
        <v>0.6</v>
      </c>
      <c r="D88" s="732">
        <v>30.4</v>
      </c>
      <c r="E88" s="702">
        <v>0.6</v>
      </c>
      <c r="F88" s="736">
        <v>43.600000000198634</v>
      </c>
      <c r="G88" s="702">
        <v>0.6</v>
      </c>
      <c r="H88" s="809">
        <v>45.400000000197892</v>
      </c>
      <c r="I88" s="103"/>
      <c r="J88" s="27"/>
      <c r="K88" s="103"/>
      <c r="L88" s="27"/>
      <c r="M88" s="103"/>
    </row>
    <row r="89" spans="1:16" hidden="1" x14ac:dyDescent="0.2">
      <c r="A89" s="697">
        <v>0.8</v>
      </c>
      <c r="B89" s="702">
        <v>39.4</v>
      </c>
      <c r="C89" s="702">
        <v>0.8</v>
      </c>
      <c r="D89" s="732">
        <v>38.299999999999997</v>
      </c>
      <c r="E89" s="702">
        <v>0.8</v>
      </c>
      <c r="F89" s="736">
        <v>54.262036975000058</v>
      </c>
      <c r="G89" s="702">
        <v>0.8</v>
      </c>
      <c r="H89" s="809">
        <v>56.718373109442375</v>
      </c>
      <c r="I89" s="103"/>
      <c r="J89" s="27"/>
      <c r="K89" s="103"/>
      <c r="L89" s="27"/>
      <c r="M89" s="103"/>
    </row>
    <row r="90" spans="1:16" hidden="1" x14ac:dyDescent="0.2">
      <c r="A90" s="697">
        <v>1</v>
      </c>
      <c r="B90" s="702">
        <v>45.7</v>
      </c>
      <c r="C90" s="702">
        <v>1</v>
      </c>
      <c r="D90" s="732">
        <v>45.9</v>
      </c>
      <c r="E90" s="702">
        <v>1</v>
      </c>
      <c r="F90" s="736">
        <v>64.400000000207456</v>
      </c>
      <c r="G90" s="702">
        <v>1</v>
      </c>
      <c r="H90" s="809">
        <v>67.400000000184377</v>
      </c>
      <c r="I90" s="103"/>
      <c r="J90" s="27"/>
      <c r="K90" s="103"/>
      <c r="L90" s="27"/>
      <c r="M90" s="103"/>
    </row>
    <row r="91" spans="1:16" hidden="1" x14ac:dyDescent="0.2">
      <c r="A91" s="697">
        <v>1.2</v>
      </c>
      <c r="B91" s="702">
        <v>51.4</v>
      </c>
      <c r="C91" s="702">
        <v>1.2</v>
      </c>
      <c r="D91" s="732">
        <v>53.2</v>
      </c>
      <c r="E91" s="702">
        <v>1.2</v>
      </c>
      <c r="F91" s="736">
        <v>74.205082353134614</v>
      </c>
      <c r="G91" s="702">
        <v>1.2</v>
      </c>
      <c r="H91" s="809">
        <v>77.672376470745021</v>
      </c>
      <c r="I91" s="103"/>
      <c r="J91" s="27"/>
      <c r="K91" s="103"/>
      <c r="L91" s="27"/>
      <c r="M91" s="103"/>
    </row>
    <row r="92" spans="1:16" hidden="1" x14ac:dyDescent="0.2">
      <c r="A92" s="697">
        <v>1.4</v>
      </c>
      <c r="B92" s="702">
        <v>56.9</v>
      </c>
      <c r="C92" s="702">
        <v>1.4</v>
      </c>
      <c r="D92" s="732">
        <v>60.2</v>
      </c>
      <c r="E92" s="702">
        <v>1.4</v>
      </c>
      <c r="F92" s="736">
        <v>83.842178151431227</v>
      </c>
      <c r="G92" s="702">
        <v>1.4</v>
      </c>
      <c r="H92" s="809">
        <v>87.728161344655305</v>
      </c>
      <c r="I92" s="103"/>
      <c r="J92" s="27"/>
      <c r="K92" s="103"/>
      <c r="L92" s="27"/>
      <c r="M92" s="103"/>
    </row>
    <row r="93" spans="1:16" hidden="1" x14ac:dyDescent="0.2">
      <c r="A93" s="697">
        <v>1.6</v>
      </c>
      <c r="B93" s="702">
        <v>62.2</v>
      </c>
      <c r="C93" s="702">
        <v>1.6</v>
      </c>
      <c r="D93" s="732">
        <v>67</v>
      </c>
      <c r="E93" s="702">
        <v>1.6</v>
      </c>
      <c r="F93" s="736">
        <v>93.449882353082941</v>
      </c>
      <c r="G93" s="702">
        <v>1.6</v>
      </c>
      <c r="H93" s="809">
        <v>97.725176470656123</v>
      </c>
      <c r="I93" s="103"/>
      <c r="J93" s="27"/>
      <c r="K93" s="103"/>
      <c r="L93" s="27"/>
      <c r="M93" s="103"/>
    </row>
    <row r="94" spans="1:16" hidden="1" x14ac:dyDescent="0.2">
      <c r="A94" s="697">
        <v>1.8</v>
      </c>
      <c r="B94" s="702">
        <v>67.7</v>
      </c>
      <c r="C94" s="702">
        <v>1.8</v>
      </c>
      <c r="D94" s="732">
        <v>73.7</v>
      </c>
      <c r="E94" s="702">
        <v>1.8</v>
      </c>
      <c r="F94" s="736">
        <v>103.14049075641128</v>
      </c>
      <c r="G94" s="702">
        <v>1.8</v>
      </c>
      <c r="H94" s="809">
        <v>107.78640672269835</v>
      </c>
      <c r="I94" s="103"/>
      <c r="J94" s="27"/>
      <c r="K94" s="103"/>
      <c r="L94" s="27"/>
      <c r="M94" s="103"/>
    </row>
    <row r="95" spans="1:16" hidden="1" x14ac:dyDescent="0.2">
      <c r="A95" s="697">
        <v>2</v>
      </c>
      <c r="B95" s="702">
        <v>73.400000000000006</v>
      </c>
      <c r="C95" s="702">
        <v>2</v>
      </c>
      <c r="D95" s="732">
        <v>80.400000000000006</v>
      </c>
      <c r="E95" s="702">
        <v>2</v>
      </c>
      <c r="F95" s="736">
        <v>113.00000000007368</v>
      </c>
      <c r="G95" s="702">
        <v>2</v>
      </c>
      <c r="H95" s="809">
        <v>117.99999999994267</v>
      </c>
      <c r="I95" s="103"/>
      <c r="J95" s="27"/>
      <c r="K95" s="103"/>
      <c r="L95" s="27"/>
      <c r="M95" s="103"/>
    </row>
    <row r="96" spans="1:16" hidden="1" x14ac:dyDescent="0.2">
      <c r="A96" s="697">
        <v>2.2000000000000002</v>
      </c>
      <c r="B96" s="702">
        <v>79.400000000000006</v>
      </c>
      <c r="C96" s="702">
        <v>2.2000000000000002</v>
      </c>
      <c r="D96" s="732">
        <v>87.2</v>
      </c>
      <c r="E96" s="702">
        <v>2.2000000000000002</v>
      </c>
      <c r="F96" s="736">
        <v>123.08810756306363</v>
      </c>
      <c r="G96" s="702">
        <v>2.2000000000000002</v>
      </c>
      <c r="H96" s="809">
        <v>128.41926722675981</v>
      </c>
      <c r="I96" s="103"/>
      <c r="J96" s="27"/>
      <c r="K96" s="103"/>
      <c r="L96" s="27"/>
      <c r="M96" s="103"/>
    </row>
    <row r="97" spans="1:13" hidden="1" x14ac:dyDescent="0.2">
      <c r="A97" s="697">
        <v>2.4</v>
      </c>
      <c r="B97" s="702">
        <v>85.9</v>
      </c>
      <c r="C97" s="702">
        <v>2.4</v>
      </c>
      <c r="D97" s="732">
        <v>94.2</v>
      </c>
      <c r="E97" s="702">
        <v>2.4</v>
      </c>
      <c r="F97" s="736">
        <v>133.43821176471033</v>
      </c>
      <c r="G97" s="702">
        <v>2.4</v>
      </c>
      <c r="H97" s="809">
        <v>139.06268235273023</v>
      </c>
      <c r="I97" s="103"/>
      <c r="J97" s="27"/>
      <c r="K97" s="103"/>
      <c r="L97" s="27"/>
      <c r="M97" s="103"/>
    </row>
    <row r="98" spans="1:13" hidden="1" x14ac:dyDescent="0.2">
      <c r="A98" s="697">
        <v>2.6</v>
      </c>
      <c r="B98" s="702">
        <v>92.8</v>
      </c>
      <c r="C98" s="702">
        <v>2.6</v>
      </c>
      <c r="D98" s="702">
        <v>102</v>
      </c>
      <c r="E98" s="702">
        <v>2.6</v>
      </c>
      <c r="F98" s="736">
        <v>144.05741176467907</v>
      </c>
      <c r="G98" s="702">
        <v>2.6</v>
      </c>
      <c r="H98" s="809">
        <v>149.91388235264458</v>
      </c>
      <c r="I98" s="103"/>
      <c r="J98" s="27"/>
      <c r="K98" s="103"/>
      <c r="L98" s="27"/>
      <c r="M98" s="103"/>
    </row>
    <row r="99" spans="1:13" hidden="1" x14ac:dyDescent="0.2">
      <c r="A99" s="697">
        <v>2.8</v>
      </c>
      <c r="B99" s="702">
        <v>100</v>
      </c>
      <c r="C99" s="702">
        <v>2.8</v>
      </c>
      <c r="D99" s="702">
        <v>109</v>
      </c>
      <c r="E99" s="702">
        <v>2.8</v>
      </c>
      <c r="F99" s="736">
        <v>154.92650756297098</v>
      </c>
      <c r="G99" s="702">
        <v>2.8</v>
      </c>
      <c r="H99" s="809">
        <v>160.92166722650305</v>
      </c>
      <c r="I99" s="103"/>
      <c r="J99" s="27"/>
      <c r="K99" s="103"/>
      <c r="L99" s="27"/>
      <c r="M99" s="103"/>
    </row>
    <row r="100" spans="1:13" hidden="1" x14ac:dyDescent="0.2">
      <c r="A100" s="697">
        <v>3</v>
      </c>
      <c r="B100" s="702">
        <v>108</v>
      </c>
      <c r="C100" s="702">
        <v>3</v>
      </c>
      <c r="D100" s="702">
        <v>118</v>
      </c>
      <c r="E100" s="702">
        <v>3</v>
      </c>
      <c r="F100" s="736">
        <v>165.99999999992312</v>
      </c>
      <c r="G100" s="702">
        <v>3</v>
      </c>
      <c r="H100" s="809">
        <v>171.99999999951618</v>
      </c>
      <c r="I100" s="103"/>
      <c r="J100" s="27"/>
      <c r="K100" s="103"/>
      <c r="L100" s="27"/>
      <c r="M100" s="103"/>
    </row>
    <row r="101" spans="1:13" hidden="1" x14ac:dyDescent="0.2">
      <c r="A101" s="697">
        <v>3.2</v>
      </c>
      <c r="B101" s="702">
        <v>116</v>
      </c>
      <c r="C101" s="702">
        <v>3.2</v>
      </c>
      <c r="D101" s="702">
        <v>127</v>
      </c>
      <c r="E101" s="702">
        <v>3.2</v>
      </c>
      <c r="F101" s="736">
        <v>177.20609075620854</v>
      </c>
      <c r="G101" s="702">
        <v>3.2</v>
      </c>
      <c r="H101" s="809">
        <v>183.02800672210395</v>
      </c>
      <c r="I101" s="103"/>
      <c r="J101" s="27"/>
      <c r="K101" s="103"/>
      <c r="L101" s="27"/>
      <c r="M101" s="103"/>
    </row>
    <row r="102" spans="1:13" hidden="1" x14ac:dyDescent="0.2">
      <c r="A102" s="697">
        <v>3.4</v>
      </c>
      <c r="B102" s="702">
        <v>125</v>
      </c>
      <c r="C102" s="702">
        <v>3.4</v>
      </c>
      <c r="D102" s="702">
        <v>138</v>
      </c>
      <c r="E102" s="702">
        <v>3.4</v>
      </c>
      <c r="F102" s="736">
        <v>188.44668235283615</v>
      </c>
      <c r="G102" s="702">
        <v>3.4</v>
      </c>
      <c r="H102" s="809">
        <v>193.84997646989677</v>
      </c>
      <c r="I102" s="103"/>
      <c r="J102" s="27"/>
      <c r="K102" s="103"/>
      <c r="L102" s="27"/>
      <c r="M102" s="103"/>
    </row>
    <row r="103" spans="1:13" hidden="1" x14ac:dyDescent="0.2">
      <c r="A103" s="697">
        <v>3.6</v>
      </c>
      <c r="B103" s="702">
        <v>134</v>
      </c>
      <c r="C103" s="702">
        <v>3.6</v>
      </c>
      <c r="D103" s="702">
        <v>150</v>
      </c>
      <c r="E103" s="702">
        <v>3.6</v>
      </c>
      <c r="F103" s="736">
        <v>199.59737815115076</v>
      </c>
      <c r="G103" s="702">
        <v>3.6</v>
      </c>
      <c r="H103" s="809">
        <v>204.2753613437344</v>
      </c>
      <c r="I103" s="103"/>
      <c r="J103" s="27"/>
      <c r="K103" s="103"/>
      <c r="L103" s="27"/>
      <c r="M103" s="103"/>
    </row>
    <row r="104" spans="1:13" hidden="1" x14ac:dyDescent="0.2">
      <c r="A104" s="697">
        <v>3.8</v>
      </c>
      <c r="B104" s="702">
        <v>142</v>
      </c>
      <c r="C104" s="702">
        <v>3.8</v>
      </c>
      <c r="D104" s="702">
        <v>164</v>
      </c>
      <c r="E104" s="702">
        <v>3.8</v>
      </c>
      <c r="F104" s="736">
        <v>210.50748235283302</v>
      </c>
      <c r="G104" s="702">
        <v>3.8</v>
      </c>
      <c r="H104" s="809">
        <v>214.07877646966691</v>
      </c>
      <c r="I104" s="103"/>
      <c r="J104" s="27"/>
      <c r="K104" s="103"/>
      <c r="L104" s="27"/>
      <c r="M104" s="103"/>
    </row>
    <row r="105" spans="1:13" ht="13.5" hidden="1" thickBot="1" x14ac:dyDescent="0.25">
      <c r="A105" s="698">
        <v>4</v>
      </c>
      <c r="B105" s="726">
        <v>151</v>
      </c>
      <c r="C105" s="726">
        <v>4</v>
      </c>
      <c r="D105" s="726">
        <v>179</v>
      </c>
      <c r="E105" s="726">
        <v>4</v>
      </c>
      <c r="F105" s="735">
        <v>220.99999999989984</v>
      </c>
      <c r="G105" s="726">
        <v>4</v>
      </c>
      <c r="H105" s="810">
        <v>222.99999999895437</v>
      </c>
      <c r="I105" s="103"/>
      <c r="J105" s="27"/>
      <c r="K105" s="103"/>
      <c r="L105" s="27"/>
      <c r="M105" s="103"/>
    </row>
    <row r="106" spans="1:13" ht="14.25" hidden="1" thickTop="1" thickBot="1" x14ac:dyDescent="0.25"/>
    <row r="107" spans="1:13" ht="13.5" hidden="1" thickTop="1" x14ac:dyDescent="0.2">
      <c r="A107" s="1130" t="s">
        <v>825</v>
      </c>
      <c r="B107" s="1128"/>
      <c r="C107" s="1128" t="s">
        <v>824</v>
      </c>
      <c r="D107" s="1129"/>
    </row>
    <row r="108" spans="1:13" hidden="1" x14ac:dyDescent="0.2">
      <c r="A108" s="697" t="s">
        <v>790</v>
      </c>
      <c r="B108" s="702" t="s">
        <v>753</v>
      </c>
      <c r="C108" s="702" t="s">
        <v>790</v>
      </c>
      <c r="D108" s="695" t="s">
        <v>753</v>
      </c>
    </row>
    <row r="109" spans="1:13" hidden="1" x14ac:dyDescent="0.2">
      <c r="A109" s="697">
        <v>0.6</v>
      </c>
      <c r="B109" s="732">
        <v>60.800000000240928</v>
      </c>
      <c r="C109" s="702">
        <v>0.6</v>
      </c>
      <c r="D109" s="731">
        <v>59.800000000244729</v>
      </c>
    </row>
    <row r="110" spans="1:13" hidden="1" x14ac:dyDescent="0.2">
      <c r="A110" s="697">
        <v>0.8</v>
      </c>
      <c r="B110" s="732">
        <v>77.037620168308479</v>
      </c>
      <c r="C110" s="702">
        <v>0.8</v>
      </c>
      <c r="D110" s="731">
        <v>76.107442017056627</v>
      </c>
    </row>
    <row r="111" spans="1:13" hidden="1" x14ac:dyDescent="0.2">
      <c r="A111" s="697">
        <v>1</v>
      </c>
      <c r="B111" s="732">
        <v>92.300000000221075</v>
      </c>
      <c r="C111" s="702">
        <v>1</v>
      </c>
      <c r="D111" s="731">
        <v>91.600000000238239</v>
      </c>
    </row>
    <row r="112" spans="1:13" hidden="1" x14ac:dyDescent="0.2">
      <c r="A112" s="697">
        <v>1.2</v>
      </c>
      <c r="B112" s="729">
        <v>106.78851764724126</v>
      </c>
      <c r="C112" s="702">
        <v>1.2</v>
      </c>
      <c r="D112" s="728">
        <v>106.41421176491637</v>
      </c>
    </row>
    <row r="113" spans="1:12" hidden="1" x14ac:dyDescent="0.2">
      <c r="A113" s="697">
        <v>1.4</v>
      </c>
      <c r="B113" s="729">
        <v>120.67507899172385</v>
      </c>
      <c r="C113" s="702">
        <v>1.4</v>
      </c>
      <c r="D113" s="728">
        <v>120.66894789932691</v>
      </c>
    </row>
    <row r="114" spans="1:12" hidden="1" x14ac:dyDescent="0.2">
      <c r="A114" s="697">
        <v>1.6</v>
      </c>
      <c r="B114" s="729">
        <v>134.10211764711596</v>
      </c>
      <c r="C114" s="702">
        <v>1.6</v>
      </c>
      <c r="D114" s="728">
        <v>134.46541176481492</v>
      </c>
    </row>
    <row r="115" spans="1:12" hidden="1" x14ac:dyDescent="0.2">
      <c r="A115" s="697">
        <v>1.8</v>
      </c>
      <c r="B115" s="729">
        <v>147.18259495795701</v>
      </c>
      <c r="C115" s="702">
        <v>1.8</v>
      </c>
      <c r="D115" s="728">
        <v>147.88713949583445</v>
      </c>
    </row>
    <row r="116" spans="1:12" hidden="1" x14ac:dyDescent="0.2">
      <c r="A116" s="697">
        <v>2</v>
      </c>
      <c r="B116" s="729">
        <v>159.99999999987853</v>
      </c>
      <c r="C116" s="702">
        <v>2</v>
      </c>
      <c r="D116" s="728">
        <v>160.99999999994878</v>
      </c>
    </row>
    <row r="117" spans="1:12" hidden="1" x14ac:dyDescent="0.2">
      <c r="A117" s="697">
        <v>2.2000000000000002</v>
      </c>
      <c r="B117" s="729">
        <v>172.60834957960452</v>
      </c>
      <c r="C117" s="702">
        <v>2.2000000000000002</v>
      </c>
      <c r="D117" s="728">
        <v>173.85219495783022</v>
      </c>
    </row>
    <row r="118" spans="1:12" hidden="1" x14ac:dyDescent="0.2">
      <c r="A118" s="697">
        <v>2.4</v>
      </c>
      <c r="B118" s="729">
        <v>185.03218823495118</v>
      </c>
      <c r="C118" s="702">
        <v>2.4</v>
      </c>
      <c r="D118" s="728">
        <v>186.47425882326019</v>
      </c>
    </row>
    <row r="119" spans="1:12" hidden="1" x14ac:dyDescent="0.2">
      <c r="A119" s="697">
        <v>2.6</v>
      </c>
      <c r="B119" s="729">
        <v>197.26658823482694</v>
      </c>
      <c r="C119" s="702">
        <v>2.6</v>
      </c>
      <c r="D119" s="728">
        <v>198.87905882312924</v>
      </c>
    </row>
    <row r="120" spans="1:12" hidden="1" x14ac:dyDescent="0.2">
      <c r="A120" s="697">
        <v>2.8</v>
      </c>
      <c r="B120" s="729">
        <v>209.27714957923263</v>
      </c>
      <c r="C120" s="702">
        <v>2.8</v>
      </c>
      <c r="D120" s="728">
        <v>211.06179495743703</v>
      </c>
    </row>
    <row r="121" spans="1:12" hidden="1" x14ac:dyDescent="0.2">
      <c r="A121" s="697">
        <v>3</v>
      </c>
      <c r="B121" s="729">
        <v>220.99999999926118</v>
      </c>
      <c r="C121" s="702">
        <v>3</v>
      </c>
      <c r="D121" s="728">
        <v>222.99999999929238</v>
      </c>
    </row>
    <row r="122" spans="1:12" hidden="1" x14ac:dyDescent="0.2">
      <c r="A122" s="697">
        <v>3.2</v>
      </c>
      <c r="B122" s="729">
        <v>232.34179495709787</v>
      </c>
      <c r="C122" s="702">
        <v>3.2</v>
      </c>
      <c r="D122" s="728">
        <v>234.6535394949131</v>
      </c>
    </row>
    <row r="123" spans="1:12" hidden="1" x14ac:dyDescent="0.2">
      <c r="A123" s="697">
        <v>3.4</v>
      </c>
      <c r="B123" s="729">
        <v>243.17971764602041</v>
      </c>
      <c r="C123" s="702">
        <v>3.4</v>
      </c>
      <c r="D123" s="728">
        <v>245.96461176362612</v>
      </c>
    </row>
    <row r="124" spans="1:12" hidden="1" x14ac:dyDescent="0.2">
      <c r="A124" s="697">
        <v>3.6</v>
      </c>
      <c r="B124" s="729">
        <v>253.36147899039852</v>
      </c>
      <c r="C124" s="702">
        <v>3.6</v>
      </c>
      <c r="D124" s="728">
        <v>256.85774789786757</v>
      </c>
    </row>
    <row r="125" spans="1:12" hidden="1" x14ac:dyDescent="0.2">
      <c r="A125" s="697">
        <v>3.8</v>
      </c>
      <c r="B125" s="729">
        <v>262.70531764569415</v>
      </c>
      <c r="C125" s="702">
        <v>3.8</v>
      </c>
      <c r="D125" s="728">
        <v>267.23981176318256</v>
      </c>
    </row>
    <row r="126" spans="1:12" ht="13.5" hidden="1" thickBot="1" x14ac:dyDescent="0.25">
      <c r="A126" s="698">
        <v>4</v>
      </c>
      <c r="B126" s="727">
        <v>270.99999999846216</v>
      </c>
      <c r="C126" s="726">
        <v>4</v>
      </c>
      <c r="D126" s="725">
        <v>276.99999999822552</v>
      </c>
    </row>
    <row r="127" spans="1:12" ht="14.25" hidden="1" thickTop="1" thickBot="1" x14ac:dyDescent="0.25"/>
    <row r="128" spans="1:12" ht="13.5" hidden="1" thickTop="1" x14ac:dyDescent="0.2">
      <c r="A128" s="1130" t="s">
        <v>823</v>
      </c>
      <c r="B128" s="1128"/>
      <c r="C128" s="1128" t="s">
        <v>822</v>
      </c>
      <c r="D128" s="1128"/>
      <c r="E128" s="730" t="s">
        <v>821</v>
      </c>
      <c r="F128" s="730"/>
      <c r="G128" s="730" t="s">
        <v>820</v>
      </c>
      <c r="H128" s="730"/>
      <c r="I128" s="1128" t="s">
        <v>819</v>
      </c>
      <c r="J128" s="1128"/>
      <c r="K128" s="1128" t="s">
        <v>818</v>
      </c>
      <c r="L128" s="1129"/>
    </row>
    <row r="129" spans="1:12" hidden="1" x14ac:dyDescent="0.2">
      <c r="A129" s="697" t="s">
        <v>790</v>
      </c>
      <c r="B129" s="702" t="s">
        <v>753</v>
      </c>
      <c r="C129" s="702" t="s">
        <v>790</v>
      </c>
      <c r="D129" s="702" t="s">
        <v>753</v>
      </c>
      <c r="E129" s="702" t="s">
        <v>790</v>
      </c>
      <c r="F129" s="702" t="s">
        <v>753</v>
      </c>
      <c r="G129" s="702" t="s">
        <v>790</v>
      </c>
      <c r="H129" s="702" t="s">
        <v>753</v>
      </c>
      <c r="I129" s="702" t="s">
        <v>790</v>
      </c>
      <c r="J129" s="702" t="s">
        <v>753</v>
      </c>
      <c r="K129" s="702" t="s">
        <v>790</v>
      </c>
      <c r="L129" s="695" t="s">
        <v>753</v>
      </c>
    </row>
    <row r="130" spans="1:12" hidden="1" x14ac:dyDescent="0.2">
      <c r="A130" s="697">
        <v>1</v>
      </c>
      <c r="B130" s="729">
        <v>242.99999999997232</v>
      </c>
      <c r="C130" s="702">
        <v>1</v>
      </c>
      <c r="D130" s="729">
        <v>244.9999999999701</v>
      </c>
      <c r="E130" s="702">
        <v>1</v>
      </c>
      <c r="F130" s="729">
        <v>407.99999999994941</v>
      </c>
      <c r="G130" s="702">
        <v>1</v>
      </c>
      <c r="H130" s="729">
        <v>428</v>
      </c>
      <c r="I130" s="702">
        <v>1</v>
      </c>
      <c r="J130" s="729">
        <v>386.99999999995072</v>
      </c>
      <c r="K130" s="702">
        <v>1</v>
      </c>
      <c r="L130" s="728">
        <v>396.99999999994805</v>
      </c>
    </row>
    <row r="131" spans="1:12" hidden="1" x14ac:dyDescent="0.2">
      <c r="A131" s="697">
        <v>1.2</v>
      </c>
      <c r="B131" s="729">
        <v>261.36799999997339</v>
      </c>
      <c r="C131" s="702">
        <v>1.2</v>
      </c>
      <c r="D131" s="729">
        <v>264.51999999997361</v>
      </c>
      <c r="E131" s="702">
        <v>1.2</v>
      </c>
      <c r="F131" s="729">
        <v>417.82399999995454</v>
      </c>
      <c r="G131" s="702">
        <v>1.2</v>
      </c>
      <c r="H131" s="729">
        <v>442</v>
      </c>
      <c r="I131" s="702">
        <v>1.2</v>
      </c>
      <c r="J131" s="729">
        <v>419.4639999999535</v>
      </c>
      <c r="K131" s="702">
        <v>1.2</v>
      </c>
      <c r="L131" s="728">
        <v>429.431999999955</v>
      </c>
    </row>
    <row r="132" spans="1:12" hidden="1" x14ac:dyDescent="0.2">
      <c r="A132" s="697">
        <v>1.4</v>
      </c>
      <c r="B132" s="729">
        <v>275.66399999997441</v>
      </c>
      <c r="C132" s="702">
        <v>1.4</v>
      </c>
      <c r="D132" s="729">
        <v>279.51999999997656</v>
      </c>
      <c r="E132" s="702">
        <v>1.4</v>
      </c>
      <c r="F132" s="729">
        <v>431.51199999995856</v>
      </c>
      <c r="G132" s="702">
        <v>1.4</v>
      </c>
      <c r="H132" s="729">
        <v>456</v>
      </c>
      <c r="I132" s="702">
        <v>1.4</v>
      </c>
      <c r="J132" s="729">
        <v>446.67199999995518</v>
      </c>
      <c r="K132" s="702">
        <v>1.4</v>
      </c>
      <c r="L132" s="728">
        <v>457.29599999996015</v>
      </c>
    </row>
    <row r="133" spans="1:12" hidden="1" x14ac:dyDescent="0.2">
      <c r="A133" s="697">
        <v>1.6</v>
      </c>
      <c r="B133" s="729">
        <v>286.57599999997547</v>
      </c>
      <c r="C133" s="702">
        <v>1.6</v>
      </c>
      <c r="D133" s="729">
        <v>290.75999999997902</v>
      </c>
      <c r="E133" s="702">
        <v>1.6</v>
      </c>
      <c r="F133" s="729">
        <v>448.4879999999614</v>
      </c>
      <c r="G133" s="702">
        <v>1.6</v>
      </c>
      <c r="H133" s="729">
        <v>470</v>
      </c>
      <c r="I133" s="702">
        <v>1.6</v>
      </c>
      <c r="J133" s="729">
        <v>469.44799999995604</v>
      </c>
      <c r="K133" s="702">
        <v>1.6</v>
      </c>
      <c r="L133" s="728">
        <v>481.34399999996356</v>
      </c>
    </row>
    <row r="134" spans="1:12" hidden="1" x14ac:dyDescent="0.2">
      <c r="A134" s="697">
        <v>1.8</v>
      </c>
      <c r="B134" s="729">
        <v>294.79199999997638</v>
      </c>
      <c r="C134" s="702">
        <v>1.8</v>
      </c>
      <c r="D134" s="729">
        <v>298.99999999998101</v>
      </c>
      <c r="E134" s="702">
        <v>1.8</v>
      </c>
      <c r="F134" s="729">
        <v>468.1759999999631</v>
      </c>
      <c r="G134" s="702">
        <v>1.8</v>
      </c>
      <c r="H134" s="729">
        <v>484</v>
      </c>
      <c r="I134" s="702">
        <v>1.8</v>
      </c>
      <c r="J134" s="729">
        <v>488.61599999995622</v>
      </c>
      <c r="K134" s="702">
        <v>1.8</v>
      </c>
      <c r="L134" s="728">
        <v>502.32799999996507</v>
      </c>
    </row>
    <row r="135" spans="1:12" hidden="1" x14ac:dyDescent="0.2">
      <c r="A135" s="697">
        <v>2</v>
      </c>
      <c r="B135" s="729">
        <v>300.99999999997732</v>
      </c>
      <c r="C135" s="702">
        <v>2</v>
      </c>
      <c r="D135" s="729">
        <v>304.99999999998244</v>
      </c>
      <c r="E135" s="702">
        <v>2</v>
      </c>
      <c r="F135" s="729">
        <v>489.99999999996362</v>
      </c>
      <c r="G135" s="702">
        <v>2</v>
      </c>
      <c r="H135" s="729">
        <v>498.00000000000125</v>
      </c>
      <c r="I135" s="702">
        <v>2</v>
      </c>
      <c r="J135" s="729">
        <v>504.99999999995561</v>
      </c>
      <c r="K135" s="702">
        <v>2</v>
      </c>
      <c r="L135" s="728">
        <v>520.99999999996476</v>
      </c>
    </row>
    <row r="136" spans="1:12" hidden="1" x14ac:dyDescent="0.2">
      <c r="A136" s="697">
        <v>2.2000000000000002</v>
      </c>
      <c r="B136" s="729">
        <v>305.88799999997815</v>
      </c>
      <c r="C136" s="702">
        <v>2.2000000000000002</v>
      </c>
      <c r="D136" s="729">
        <v>309.51999999998344</v>
      </c>
      <c r="E136" s="702">
        <v>2.2000000000000002</v>
      </c>
      <c r="F136" s="729">
        <v>513.38399999996295</v>
      </c>
      <c r="G136" s="702">
        <v>2.2000000000000002</v>
      </c>
      <c r="H136" s="729">
        <v>533.44000000000108</v>
      </c>
      <c r="I136" s="702">
        <v>2.2000000000000002</v>
      </c>
      <c r="J136" s="729">
        <v>519.42399999995473</v>
      </c>
      <c r="K136" s="702">
        <v>2.2000000000000002</v>
      </c>
      <c r="L136" s="728">
        <v>538.11199999996256</v>
      </c>
    </row>
    <row r="137" spans="1:12" hidden="1" x14ac:dyDescent="0.2">
      <c r="A137" s="697">
        <v>2.4</v>
      </c>
      <c r="B137" s="729">
        <v>310.14399999997886</v>
      </c>
      <c r="C137" s="702">
        <v>2.4</v>
      </c>
      <c r="D137" s="729">
        <v>313.31999999998396</v>
      </c>
      <c r="E137" s="702">
        <v>2.4</v>
      </c>
      <c r="F137" s="729">
        <v>537.75199999996107</v>
      </c>
      <c r="G137" s="702">
        <v>2.4</v>
      </c>
      <c r="H137" s="729">
        <v>566.56000000000085</v>
      </c>
      <c r="I137" s="702">
        <v>2.4</v>
      </c>
      <c r="J137" s="729">
        <v>532.71199999995338</v>
      </c>
      <c r="K137" s="702">
        <v>2.4</v>
      </c>
      <c r="L137" s="728">
        <v>554.41599999995856</v>
      </c>
    </row>
    <row r="138" spans="1:12" hidden="1" x14ac:dyDescent="0.2">
      <c r="A138" s="697">
        <v>2.6</v>
      </c>
      <c r="B138" s="729">
        <v>314.45599999997944</v>
      </c>
      <c r="C138" s="702">
        <v>2.6</v>
      </c>
      <c r="D138" s="729">
        <v>317.15999999998417</v>
      </c>
      <c r="E138" s="702">
        <v>2.6</v>
      </c>
      <c r="F138" s="729">
        <v>562.52799999995818</v>
      </c>
      <c r="G138" s="702">
        <v>2.6</v>
      </c>
      <c r="H138" s="729">
        <v>597.36000000000081</v>
      </c>
      <c r="I138" s="702">
        <v>2.6</v>
      </c>
      <c r="J138" s="729">
        <v>545.6879999999519</v>
      </c>
      <c r="K138" s="702">
        <v>2.6</v>
      </c>
      <c r="L138" s="728">
        <v>570.66399999995247</v>
      </c>
    </row>
    <row r="139" spans="1:12" hidden="1" x14ac:dyDescent="0.2">
      <c r="A139" s="697">
        <v>2.8</v>
      </c>
      <c r="B139" s="729">
        <v>319.51199999997993</v>
      </c>
      <c r="C139" s="702">
        <v>2.8</v>
      </c>
      <c r="D139" s="729">
        <v>321.7999999999841</v>
      </c>
      <c r="E139" s="702">
        <v>2.8</v>
      </c>
      <c r="F139" s="729">
        <v>587.13599999995404</v>
      </c>
      <c r="G139" s="702">
        <v>2.8</v>
      </c>
      <c r="H139" s="729">
        <v>625.84000000000071</v>
      </c>
      <c r="I139" s="702">
        <v>2.8</v>
      </c>
      <c r="J139" s="729">
        <v>559.17599999995025</v>
      </c>
      <c r="K139" s="702">
        <v>2.8</v>
      </c>
      <c r="L139" s="728">
        <v>587.60799999994458</v>
      </c>
    </row>
    <row r="140" spans="1:12" hidden="1" x14ac:dyDescent="0.2">
      <c r="A140" s="697">
        <v>3</v>
      </c>
      <c r="B140" s="729">
        <v>325.99999999998028</v>
      </c>
      <c r="C140" s="702">
        <v>3</v>
      </c>
      <c r="D140" s="729">
        <v>327.99999999998346</v>
      </c>
      <c r="E140" s="702">
        <v>3</v>
      </c>
      <c r="F140" s="729">
        <v>610.99999999994861</v>
      </c>
      <c r="G140" s="702">
        <v>3</v>
      </c>
      <c r="H140" s="729">
        <v>652.0000000000008</v>
      </c>
      <c r="I140" s="702">
        <v>3</v>
      </c>
      <c r="J140" s="729">
        <v>573.99999999994895</v>
      </c>
      <c r="K140" s="702">
        <v>3</v>
      </c>
      <c r="L140" s="728">
        <v>605.99999999993463</v>
      </c>
    </row>
    <row r="141" spans="1:12" hidden="1" x14ac:dyDescent="0.2">
      <c r="A141" s="697">
        <v>3.2</v>
      </c>
      <c r="B141" s="729">
        <v>334.60799999998056</v>
      </c>
      <c r="C141" s="702">
        <v>3.2</v>
      </c>
      <c r="D141" s="729">
        <v>336.51999999998264</v>
      </c>
      <c r="E141" s="702">
        <v>3.2</v>
      </c>
      <c r="F141" s="729">
        <v>633.54399999994212</v>
      </c>
      <c r="G141" s="702">
        <v>3.2</v>
      </c>
      <c r="H141" s="729">
        <v>675.84000000000094</v>
      </c>
      <c r="I141" s="702">
        <v>3.2</v>
      </c>
      <c r="J141" s="729">
        <v>590.98399999994774</v>
      </c>
      <c r="K141" s="702">
        <v>3.2</v>
      </c>
      <c r="L141" s="728">
        <v>626.59199999992279</v>
      </c>
    </row>
    <row r="142" spans="1:12" hidden="1" x14ac:dyDescent="0.2">
      <c r="A142" s="697">
        <v>3.4</v>
      </c>
      <c r="B142" s="729">
        <v>346.02399999998062</v>
      </c>
      <c r="C142" s="702">
        <v>3.4</v>
      </c>
      <c r="D142" s="729">
        <v>348.11999999998164</v>
      </c>
      <c r="E142" s="702">
        <v>3.4</v>
      </c>
      <c r="F142" s="729">
        <v>654.1919999999343</v>
      </c>
      <c r="G142" s="702">
        <v>3.4</v>
      </c>
      <c r="H142" s="729">
        <v>697.36000000000115</v>
      </c>
      <c r="I142" s="702">
        <v>3.4</v>
      </c>
      <c r="J142" s="729">
        <v>610.95199999994702</v>
      </c>
      <c r="K142" s="702">
        <v>3.4</v>
      </c>
      <c r="L142" s="728">
        <v>650.13599999990868</v>
      </c>
    </row>
    <row r="143" spans="1:12" hidden="1" x14ac:dyDescent="0.2">
      <c r="A143" s="697">
        <v>3.6</v>
      </c>
      <c r="B143" s="729">
        <v>360.93599999998031</v>
      </c>
      <c r="C143" s="702">
        <v>3.6</v>
      </c>
      <c r="D143" s="729">
        <v>363.55999999998033</v>
      </c>
      <c r="E143" s="702">
        <v>3.6</v>
      </c>
      <c r="F143" s="729">
        <v>672.36799999992559</v>
      </c>
      <c r="G143" s="702">
        <v>3.6</v>
      </c>
      <c r="H143" s="729">
        <v>716.56000000000154</v>
      </c>
      <c r="I143" s="702">
        <v>3.6</v>
      </c>
      <c r="J143" s="729">
        <v>634.72799999994697</v>
      </c>
      <c r="K143" s="702">
        <v>3.6</v>
      </c>
      <c r="L143" s="728">
        <v>677.38399999989281</v>
      </c>
    </row>
    <row r="144" spans="1:12" hidden="1" x14ac:dyDescent="0.2">
      <c r="A144" s="697">
        <v>3.8</v>
      </c>
      <c r="B144" s="729">
        <v>380.03199999997986</v>
      </c>
      <c r="C144" s="702">
        <v>3.8</v>
      </c>
      <c r="D144" s="729">
        <v>383.59999999997848</v>
      </c>
      <c r="E144" s="702">
        <v>3.8</v>
      </c>
      <c r="F144" s="729">
        <v>687.49599999991563</v>
      </c>
      <c r="G144" s="702">
        <v>3.8</v>
      </c>
      <c r="H144" s="729">
        <v>733.44000000000165</v>
      </c>
      <c r="I144" s="702">
        <v>3.8</v>
      </c>
      <c r="J144" s="729">
        <v>663.13599999994722</v>
      </c>
      <c r="K144" s="702">
        <v>3.8</v>
      </c>
      <c r="L144" s="728">
        <v>709.08799999987457</v>
      </c>
    </row>
    <row r="145" spans="1:12" ht="13.5" hidden="1" thickBot="1" x14ac:dyDescent="0.25">
      <c r="A145" s="698">
        <v>4</v>
      </c>
      <c r="B145" s="727">
        <v>403.99999999997925</v>
      </c>
      <c r="C145" s="726">
        <v>4</v>
      </c>
      <c r="D145" s="727">
        <v>408.99999999997686</v>
      </c>
      <c r="E145" s="726">
        <v>4</v>
      </c>
      <c r="F145" s="727">
        <v>698.9999999999045</v>
      </c>
      <c r="G145" s="726">
        <v>4</v>
      </c>
      <c r="H145" s="727">
        <v>748.00000000000205</v>
      </c>
      <c r="I145" s="726">
        <v>4</v>
      </c>
      <c r="J145" s="727">
        <v>696.99999999994873</v>
      </c>
      <c r="K145" s="726">
        <v>4</v>
      </c>
      <c r="L145" s="725">
        <v>745.99999999985437</v>
      </c>
    </row>
  </sheetData>
  <sheetProtection sheet="1" selectLockedCells="1"/>
  <mergeCells count="30">
    <mergeCell ref="O65:P65"/>
    <mergeCell ref="A65:B65"/>
    <mergeCell ref="A86:B86"/>
    <mergeCell ref="C86:D86"/>
    <mergeCell ref="E86:F86"/>
    <mergeCell ref="G86:H86"/>
    <mergeCell ref="G65:H65"/>
    <mergeCell ref="I86:J86"/>
    <mergeCell ref="K86:L86"/>
    <mergeCell ref="C65:D65"/>
    <mergeCell ref="E65:F65"/>
    <mergeCell ref="M44:N44"/>
    <mergeCell ref="I65:J65"/>
    <mergeCell ref="K65:L65"/>
    <mergeCell ref="M65:N65"/>
    <mergeCell ref="A1:H1"/>
    <mergeCell ref="A2:H2"/>
    <mergeCell ref="A14:A15"/>
    <mergeCell ref="K44:L44"/>
    <mergeCell ref="C44:D44"/>
    <mergeCell ref="A44:B44"/>
    <mergeCell ref="E44:F44"/>
    <mergeCell ref="G44:H44"/>
    <mergeCell ref="I44:J44"/>
    <mergeCell ref="K128:L128"/>
    <mergeCell ref="I128:J128"/>
    <mergeCell ref="A128:B128"/>
    <mergeCell ref="C128:D128"/>
    <mergeCell ref="A107:B107"/>
    <mergeCell ref="C107:D107"/>
  </mergeCells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92D1E-FB45-4220-9BBA-B8EF14363AE1}">
  <dimension ref="A1:P78"/>
  <sheetViews>
    <sheetView workbookViewId="0">
      <selection activeCell="C5" sqref="C5"/>
    </sheetView>
  </sheetViews>
  <sheetFormatPr defaultColWidth="11.42578125" defaultRowHeight="12.75" x14ac:dyDescent="0.2"/>
  <cols>
    <col min="1" max="1" width="12.7109375" style="482" customWidth="1"/>
    <col min="2" max="2" width="14.28515625" style="482" bestFit="1" customWidth="1"/>
    <col min="3" max="4" width="12.7109375" style="762" customWidth="1"/>
    <col min="5" max="18" width="12.7109375" style="482" customWidth="1"/>
    <col min="19" max="16384" width="11.42578125" style="482"/>
  </cols>
  <sheetData>
    <row r="1" spans="1:9" ht="21" thickTop="1" x14ac:dyDescent="0.3">
      <c r="A1" s="932" t="s">
        <v>848</v>
      </c>
      <c r="B1" s="933"/>
      <c r="C1" s="933"/>
      <c r="D1" s="933"/>
      <c r="E1" s="933"/>
      <c r="F1" s="933"/>
      <c r="G1" s="933"/>
      <c r="H1" s="933"/>
      <c r="I1" s="934"/>
    </row>
    <row r="2" spans="1:9" ht="21" thickBot="1" x14ac:dyDescent="0.35">
      <c r="A2" s="1076" t="s">
        <v>803</v>
      </c>
      <c r="B2" s="1077"/>
      <c r="C2" s="1077"/>
      <c r="D2" s="1077"/>
      <c r="E2" s="1077"/>
      <c r="F2" s="1077"/>
      <c r="G2" s="1077"/>
      <c r="H2" s="1077"/>
      <c r="I2" s="1078"/>
    </row>
    <row r="3" spans="1:9" ht="20.25" x14ac:dyDescent="0.3">
      <c r="A3" s="615"/>
      <c r="B3" s="616"/>
      <c r="C3" s="616"/>
      <c r="D3" s="616"/>
      <c r="E3" s="616"/>
      <c r="F3" s="616"/>
      <c r="G3" s="616"/>
      <c r="H3" s="616"/>
      <c r="I3" s="617"/>
    </row>
    <row r="4" spans="1:9" x14ac:dyDescent="0.2">
      <c r="A4" s="747"/>
      <c r="B4" s="748"/>
      <c r="C4" s="737" t="s">
        <v>25</v>
      </c>
      <c r="D4" s="749"/>
      <c r="E4" s="748"/>
      <c r="F4" s="748"/>
      <c r="G4" s="748"/>
      <c r="H4" s="748"/>
      <c r="I4" s="750"/>
    </row>
    <row r="5" spans="1:9" x14ac:dyDescent="0.2">
      <c r="A5" s="751"/>
      <c r="B5" s="752" t="s">
        <v>804</v>
      </c>
      <c r="C5" s="491">
        <v>100</v>
      </c>
      <c r="D5" s="753" t="s">
        <v>849</v>
      </c>
      <c r="E5" s="748"/>
      <c r="F5" s="748"/>
      <c r="G5" s="748"/>
      <c r="H5" s="748"/>
      <c r="I5" s="750"/>
    </row>
    <row r="6" spans="1:9" x14ac:dyDescent="0.2">
      <c r="A6" s="751"/>
      <c r="B6" s="754" t="s">
        <v>806</v>
      </c>
      <c r="C6" s="491">
        <v>4</v>
      </c>
      <c r="D6" s="748"/>
      <c r="G6" s="748"/>
      <c r="H6" s="748"/>
      <c r="I6" s="750"/>
    </row>
    <row r="7" spans="1:9" x14ac:dyDescent="0.2">
      <c r="A7" s="751"/>
      <c r="B7" s="748"/>
      <c r="C7" s="755"/>
      <c r="D7" s="756"/>
      <c r="E7" s="748"/>
      <c r="F7" s="748"/>
      <c r="G7" s="748"/>
      <c r="H7" s="748"/>
      <c r="I7" s="750"/>
    </row>
    <row r="8" spans="1:9" x14ac:dyDescent="0.2">
      <c r="A8" s="751"/>
      <c r="C8" s="748"/>
      <c r="D8" s="748"/>
      <c r="E8" s="748"/>
      <c r="F8" s="748"/>
      <c r="G8" s="748"/>
      <c r="H8" s="748"/>
      <c r="I8" s="750"/>
    </row>
    <row r="9" spans="1:9" x14ac:dyDescent="0.2">
      <c r="A9" s="751"/>
      <c r="B9" s="748"/>
      <c r="C9" s="755"/>
      <c r="D9" s="756"/>
      <c r="E9" s="748"/>
      <c r="F9" s="748"/>
      <c r="G9" s="748"/>
      <c r="H9" s="748"/>
      <c r="I9" s="750"/>
    </row>
    <row r="10" spans="1:9" x14ac:dyDescent="0.2">
      <c r="A10" s="751"/>
      <c r="B10" s="748"/>
      <c r="C10" s="755"/>
      <c r="D10" s="756"/>
      <c r="E10" s="748"/>
      <c r="F10" s="748"/>
      <c r="G10" s="748"/>
      <c r="H10" s="748"/>
      <c r="I10" s="750"/>
    </row>
    <row r="11" spans="1:9" x14ac:dyDescent="0.2">
      <c r="A11" s="751"/>
      <c r="B11" s="748"/>
      <c r="C11" s="755"/>
      <c r="D11" s="756"/>
      <c r="E11" s="748"/>
      <c r="F11" s="748"/>
      <c r="G11" s="748"/>
      <c r="H11" s="748"/>
      <c r="I11" s="750"/>
    </row>
    <row r="12" spans="1:9" x14ac:dyDescent="0.2">
      <c r="A12" s="751"/>
      <c r="B12" s="748"/>
      <c r="C12" s="755"/>
      <c r="D12" s="756"/>
      <c r="E12" s="748"/>
      <c r="F12" s="748"/>
      <c r="G12" s="748"/>
      <c r="H12" s="748"/>
      <c r="I12" s="750"/>
    </row>
    <row r="13" spans="1:9" x14ac:dyDescent="0.2">
      <c r="A13" s="751"/>
      <c r="B13" s="748"/>
      <c r="C13" s="755"/>
      <c r="D13" s="756"/>
      <c r="E13" s="748"/>
      <c r="F13" s="748"/>
      <c r="G13" s="748"/>
      <c r="H13" s="748"/>
      <c r="I13" s="750"/>
    </row>
    <row r="14" spans="1:9" x14ac:dyDescent="0.2">
      <c r="A14" s="751"/>
      <c r="B14" s="748"/>
      <c r="C14" s="755"/>
      <c r="D14" s="756"/>
      <c r="E14" s="748"/>
      <c r="F14" s="748"/>
      <c r="G14" s="748"/>
      <c r="H14" s="748"/>
      <c r="I14" s="750"/>
    </row>
    <row r="15" spans="1:9" x14ac:dyDescent="0.2">
      <c r="A15" s="751"/>
      <c r="B15" s="748"/>
      <c r="C15" s="755"/>
      <c r="D15" s="756"/>
      <c r="E15" s="748"/>
      <c r="F15" s="748"/>
      <c r="G15" s="748"/>
      <c r="H15" s="748"/>
      <c r="I15" s="750"/>
    </row>
    <row r="16" spans="1:9" x14ac:dyDescent="0.2">
      <c r="A16" s="751"/>
      <c r="B16" s="748"/>
      <c r="C16" s="755"/>
      <c r="D16" s="756"/>
      <c r="E16" s="748"/>
      <c r="F16" s="748"/>
      <c r="G16" s="748"/>
      <c r="H16" s="748"/>
      <c r="I16" s="750"/>
    </row>
    <row r="17" spans="1:16" x14ac:dyDescent="0.2">
      <c r="A17" s="751"/>
      <c r="B17" s="748"/>
      <c r="C17" s="749"/>
      <c r="D17" s="749"/>
      <c r="E17" s="748"/>
      <c r="F17" s="748"/>
      <c r="G17" s="748"/>
      <c r="H17" s="748"/>
      <c r="I17" s="750"/>
    </row>
    <row r="18" spans="1:16" x14ac:dyDescent="0.2">
      <c r="A18" s="751"/>
      <c r="B18" s="748"/>
      <c r="C18" s="749"/>
      <c r="D18" s="749"/>
      <c r="E18" s="748"/>
      <c r="F18" s="748"/>
      <c r="G18" s="748"/>
      <c r="H18" s="748"/>
      <c r="I18" s="750"/>
    </row>
    <row r="19" spans="1:16" x14ac:dyDescent="0.2">
      <c r="A19" s="747"/>
      <c r="B19" s="748"/>
      <c r="C19" s="749"/>
      <c r="D19" s="749"/>
      <c r="E19" s="756"/>
      <c r="F19" s="748"/>
      <c r="G19" s="748"/>
      <c r="H19" s="748"/>
      <c r="I19" s="750"/>
    </row>
    <row r="20" spans="1:16" ht="13.5" thickBot="1" x14ac:dyDescent="0.25">
      <c r="A20" s="747"/>
      <c r="B20" s="748"/>
      <c r="C20" s="749"/>
      <c r="D20" s="749"/>
      <c r="E20" s="748"/>
      <c r="F20" s="748"/>
      <c r="G20" s="748"/>
      <c r="H20" s="748"/>
      <c r="I20" s="750"/>
    </row>
    <row r="21" spans="1:16" ht="38.25" customHeight="1" thickTop="1" x14ac:dyDescent="0.2">
      <c r="A21" s="505" t="s">
        <v>371</v>
      </c>
      <c r="B21" s="1136" t="s">
        <v>774</v>
      </c>
      <c r="C21" s="1136"/>
      <c r="D21" s="1137" t="s">
        <v>850</v>
      </c>
      <c r="E21" s="1138"/>
      <c r="F21" s="748"/>
      <c r="G21" s="748"/>
      <c r="H21" s="748"/>
      <c r="I21" s="750"/>
    </row>
    <row r="22" spans="1:16" x14ac:dyDescent="0.2">
      <c r="A22" s="757">
        <v>15</v>
      </c>
      <c r="B22" s="1139">
        <v>6.8</v>
      </c>
      <c r="C22" s="1139"/>
      <c r="D22" s="1140">
        <f>IF($C$6&lt;0,"NOT POSSIBLE",IF($C$6&gt;4,"NOT POSSIBLE",((VLOOKUP($C$6,$A$32:$M$77,2)))*(($C$5/100)^0.5)*1000))</f>
        <v>6800</v>
      </c>
      <c r="E22" s="1141"/>
      <c r="F22" s="748"/>
      <c r="G22" s="748"/>
      <c r="H22" s="748"/>
      <c r="I22" s="750"/>
    </row>
    <row r="23" spans="1:16" x14ac:dyDescent="0.2">
      <c r="A23" s="758">
        <v>20</v>
      </c>
      <c r="B23" s="1142">
        <v>9.9</v>
      </c>
      <c r="C23" s="1142"/>
      <c r="D23" s="1140">
        <f>IF($C$6&lt;0,"NOT POSSIBLE",IF($C$6&gt;4,"NOT POSSIBLE",((VLOOKUP($C$6,$A$32:$M$77,4)))*(($C$5/100)^0.5)*1000))</f>
        <v>9880</v>
      </c>
      <c r="E23" s="1141"/>
      <c r="F23" s="748"/>
      <c r="G23" s="748"/>
      <c r="H23" s="748"/>
      <c r="I23" s="750"/>
    </row>
    <row r="24" spans="1:16" x14ac:dyDescent="0.2">
      <c r="A24" s="757">
        <v>25</v>
      </c>
      <c r="B24" s="1139">
        <v>31.8</v>
      </c>
      <c r="C24" s="1139"/>
      <c r="D24" s="1140">
        <f>IF($C$6&lt;0,"NOT POSSIBLE",IF($C$6&gt;4,"NOT POSSIBLE",((VLOOKUP($C$6,$A$32:$M$77,6)))*(($C$5/100)^0.5)*1000))</f>
        <v>31790</v>
      </c>
      <c r="E24" s="1141"/>
      <c r="F24" s="748"/>
      <c r="G24" s="748"/>
      <c r="H24" s="748"/>
      <c r="I24" s="750"/>
    </row>
    <row r="25" spans="1:16" x14ac:dyDescent="0.2">
      <c r="A25" s="758">
        <v>32</v>
      </c>
      <c r="B25" s="1142">
        <v>23</v>
      </c>
      <c r="C25" s="1142"/>
      <c r="D25" s="1140">
        <f>IF($C$6&lt;0,"NOT POSSIBLE",IF($C$6&gt;4,"NOT POSSIBLE",((VLOOKUP($C$6,$A$32:$M$77,8)))*(($C$5/100)^0.5)*1000))</f>
        <v>23010</v>
      </c>
      <c r="E25" s="1141"/>
      <c r="F25" s="748"/>
      <c r="G25" s="748"/>
      <c r="H25" s="748"/>
      <c r="I25" s="750"/>
    </row>
    <row r="26" spans="1:16" x14ac:dyDescent="0.2">
      <c r="A26" s="757">
        <v>40</v>
      </c>
      <c r="B26" s="1139">
        <v>40</v>
      </c>
      <c r="C26" s="1139"/>
      <c r="D26" s="1140">
        <f>IF($C$6&lt;0,"NOT POSSIBLE",IF($C$6&gt;4,"NOT POSSIBLE",((VLOOKUP($C$6,$A$32:$M$77,10)))*(($C$5/100)^0.5)*1000))</f>
        <v>39950</v>
      </c>
      <c r="E26" s="1141"/>
      <c r="F26" s="748"/>
      <c r="G26" s="748"/>
      <c r="H26" s="748"/>
      <c r="I26" s="750"/>
    </row>
    <row r="27" spans="1:16" ht="13.5" thickBot="1" x14ac:dyDescent="0.25">
      <c r="A27" s="759">
        <v>50</v>
      </c>
      <c r="B27" s="1148">
        <v>49.7</v>
      </c>
      <c r="C27" s="1148"/>
      <c r="D27" s="1149">
        <f>IF($C$6&lt;0,"NOT POSSIBLE",IF($C$6&gt;4.5,"NOT POSSIBLE",((VLOOKUP($C$6,$A$32:$M$77,12)))*(($C$5/100)^0.5)*1000))</f>
        <v>42700</v>
      </c>
      <c r="E27" s="1150"/>
      <c r="F27" s="760"/>
      <c r="G27" s="760"/>
      <c r="H27" s="760"/>
      <c r="I27" s="761"/>
    </row>
    <row r="28" spans="1:16" ht="13.5" thickTop="1" x14ac:dyDescent="0.2">
      <c r="A28" s="762"/>
      <c r="B28" s="762"/>
      <c r="D28" s="488"/>
      <c r="E28" s="488"/>
      <c r="F28" s="488"/>
    </row>
    <row r="29" spans="1:16" ht="13.5" hidden="1" thickBot="1" x14ac:dyDescent="0.25"/>
    <row r="30" spans="1:16" ht="13.5" hidden="1" thickTop="1" x14ac:dyDescent="0.2">
      <c r="A30" s="763"/>
      <c r="B30" s="1143" t="s">
        <v>752</v>
      </c>
      <c r="C30" s="1144"/>
      <c r="D30" s="1145" t="s">
        <v>48</v>
      </c>
      <c r="E30" s="1146"/>
      <c r="F30" s="1143" t="s">
        <v>49</v>
      </c>
      <c r="G30" s="1144"/>
      <c r="H30" s="1145" t="s">
        <v>50</v>
      </c>
      <c r="I30" s="1146"/>
      <c r="J30" s="1143" t="s">
        <v>51</v>
      </c>
      <c r="K30" s="1144"/>
      <c r="L30" s="1145" t="s">
        <v>52</v>
      </c>
      <c r="M30" s="1147"/>
    </row>
    <row r="31" spans="1:16" hidden="1" x14ac:dyDescent="0.2">
      <c r="A31" s="764" t="s">
        <v>755</v>
      </c>
      <c r="B31" s="765" t="s">
        <v>753</v>
      </c>
      <c r="C31" s="765" t="s">
        <v>754</v>
      </c>
      <c r="D31" s="766" t="s">
        <v>753</v>
      </c>
      <c r="E31" s="766" t="s">
        <v>754</v>
      </c>
      <c r="F31" s="765" t="s">
        <v>753</v>
      </c>
      <c r="G31" s="765" t="s">
        <v>754</v>
      </c>
      <c r="H31" s="766" t="s">
        <v>753</v>
      </c>
      <c r="I31" s="766" t="s">
        <v>754</v>
      </c>
      <c r="J31" s="765" t="s">
        <v>755</v>
      </c>
      <c r="K31" s="765" t="s">
        <v>753</v>
      </c>
      <c r="L31" s="766" t="s">
        <v>753</v>
      </c>
      <c r="M31" s="767" t="s">
        <v>754</v>
      </c>
      <c r="P31" s="768"/>
    </row>
    <row r="32" spans="1:16" ht="14.25" hidden="1" x14ac:dyDescent="0.2">
      <c r="A32" s="764">
        <v>0</v>
      </c>
      <c r="B32" s="769">
        <v>0</v>
      </c>
      <c r="C32" s="770">
        <v>0</v>
      </c>
      <c r="D32" s="771">
        <v>0</v>
      </c>
      <c r="E32" s="772">
        <v>0</v>
      </c>
      <c r="F32" s="769">
        <v>0</v>
      </c>
      <c r="G32" s="773">
        <v>0</v>
      </c>
      <c r="H32" s="771">
        <v>0</v>
      </c>
      <c r="I32" s="772">
        <v>0</v>
      </c>
      <c r="J32" s="774">
        <v>0</v>
      </c>
      <c r="K32" s="775">
        <v>0</v>
      </c>
      <c r="L32" s="771">
        <v>0</v>
      </c>
      <c r="M32" s="776">
        <v>0</v>
      </c>
      <c r="P32" s="768"/>
    </row>
    <row r="33" spans="1:16" ht="14.25" hidden="1" x14ac:dyDescent="0.2">
      <c r="A33" s="764">
        <v>0.1</v>
      </c>
      <c r="B33" s="769">
        <v>0.2</v>
      </c>
      <c r="C33" s="770">
        <v>0.19</v>
      </c>
      <c r="D33" s="771">
        <f t="shared" ref="D33:M33" si="0">(D37-D32)/5*1+D32</f>
        <v>0.32799999999999996</v>
      </c>
      <c r="E33" s="772">
        <f t="shared" si="0"/>
        <v>0.316</v>
      </c>
      <c r="F33" s="769">
        <f t="shared" si="0"/>
        <v>0.54800000000000004</v>
      </c>
      <c r="G33" s="773">
        <f t="shared" si="0"/>
        <v>0.5</v>
      </c>
      <c r="H33" s="771">
        <f t="shared" si="0"/>
        <v>0.72599999999999998</v>
      </c>
      <c r="I33" s="772">
        <f t="shared" si="0"/>
        <v>0.72</v>
      </c>
      <c r="J33" s="774">
        <f t="shared" si="0"/>
        <v>0.57599999999999996</v>
      </c>
      <c r="K33" s="775">
        <f t="shared" si="0"/>
        <v>0.56799999999999995</v>
      </c>
      <c r="L33" s="771">
        <f t="shared" si="0"/>
        <v>1.0880000000000001</v>
      </c>
      <c r="M33" s="776">
        <f t="shared" si="0"/>
        <v>1.1119999999999999</v>
      </c>
      <c r="P33" s="768"/>
    </row>
    <row r="34" spans="1:16" ht="14.25" hidden="1" x14ac:dyDescent="0.2">
      <c r="A34" s="764">
        <v>0.2</v>
      </c>
      <c r="B34" s="769">
        <v>0.4</v>
      </c>
      <c r="C34" s="770">
        <v>0.38</v>
      </c>
      <c r="D34" s="771">
        <f t="shared" ref="D34:M34" si="1">(D37-D32)/5*2+D32</f>
        <v>0.65599999999999992</v>
      </c>
      <c r="E34" s="772">
        <f t="shared" si="1"/>
        <v>0.63200000000000001</v>
      </c>
      <c r="F34" s="769">
        <f t="shared" si="1"/>
        <v>1.0960000000000001</v>
      </c>
      <c r="G34" s="773">
        <f t="shared" si="1"/>
        <v>1</v>
      </c>
      <c r="H34" s="771">
        <f t="shared" si="1"/>
        <v>1.452</v>
      </c>
      <c r="I34" s="772">
        <f t="shared" si="1"/>
        <v>1.44</v>
      </c>
      <c r="J34" s="774">
        <f t="shared" si="1"/>
        <v>1.1519999999999999</v>
      </c>
      <c r="K34" s="775">
        <f t="shared" si="1"/>
        <v>1.1359999999999999</v>
      </c>
      <c r="L34" s="771">
        <f t="shared" si="1"/>
        <v>2.1760000000000002</v>
      </c>
      <c r="M34" s="776">
        <f t="shared" si="1"/>
        <v>2.2239999999999998</v>
      </c>
      <c r="P34" s="768"/>
    </row>
    <row r="35" spans="1:16" ht="14.25" hidden="1" x14ac:dyDescent="0.2">
      <c r="A35" s="764">
        <v>0.3</v>
      </c>
      <c r="B35" s="769">
        <v>0.60000000000000009</v>
      </c>
      <c r="C35" s="770">
        <v>0.57000000000000006</v>
      </c>
      <c r="D35" s="771">
        <f t="shared" ref="D35:M35" si="2">(D37-D32)/5*3+D32</f>
        <v>0.98399999999999987</v>
      </c>
      <c r="E35" s="772">
        <f t="shared" si="2"/>
        <v>0.94799999999999995</v>
      </c>
      <c r="F35" s="769">
        <f t="shared" si="2"/>
        <v>1.6440000000000001</v>
      </c>
      <c r="G35" s="773">
        <f t="shared" si="2"/>
        <v>1.5</v>
      </c>
      <c r="H35" s="771">
        <f t="shared" si="2"/>
        <v>2.1779999999999999</v>
      </c>
      <c r="I35" s="772">
        <f t="shared" si="2"/>
        <v>2.16</v>
      </c>
      <c r="J35" s="774">
        <f t="shared" si="2"/>
        <v>1.7279999999999998</v>
      </c>
      <c r="K35" s="775">
        <f t="shared" si="2"/>
        <v>1.7039999999999997</v>
      </c>
      <c r="L35" s="771">
        <f t="shared" si="2"/>
        <v>3.2640000000000002</v>
      </c>
      <c r="M35" s="776">
        <f t="shared" si="2"/>
        <v>3.3359999999999994</v>
      </c>
      <c r="P35" s="768"/>
    </row>
    <row r="36" spans="1:16" ht="14.25" hidden="1" x14ac:dyDescent="0.2">
      <c r="A36" s="764">
        <v>0.4</v>
      </c>
      <c r="B36" s="769">
        <v>0.8</v>
      </c>
      <c r="C36" s="770">
        <v>0.76</v>
      </c>
      <c r="D36" s="771">
        <f t="shared" ref="D36:M36" si="3">(D37-D32)/5*4+D32</f>
        <v>1.3119999999999998</v>
      </c>
      <c r="E36" s="772">
        <f t="shared" si="3"/>
        <v>1.264</v>
      </c>
      <c r="F36" s="769">
        <f t="shared" si="3"/>
        <v>2.1920000000000002</v>
      </c>
      <c r="G36" s="773">
        <f t="shared" si="3"/>
        <v>2</v>
      </c>
      <c r="H36" s="771">
        <f t="shared" si="3"/>
        <v>2.9039999999999999</v>
      </c>
      <c r="I36" s="772">
        <f t="shared" si="3"/>
        <v>2.88</v>
      </c>
      <c r="J36" s="774">
        <f t="shared" si="3"/>
        <v>2.3039999999999998</v>
      </c>
      <c r="K36" s="775">
        <f t="shared" si="3"/>
        <v>2.2719999999999998</v>
      </c>
      <c r="L36" s="771">
        <f t="shared" si="3"/>
        <v>4.3520000000000003</v>
      </c>
      <c r="M36" s="776">
        <f t="shared" si="3"/>
        <v>4.4479999999999995</v>
      </c>
      <c r="P36" s="768"/>
    </row>
    <row r="37" spans="1:16" ht="14.25" hidden="1" x14ac:dyDescent="0.2">
      <c r="A37" s="764">
        <v>0.5</v>
      </c>
      <c r="B37" s="769">
        <v>1</v>
      </c>
      <c r="C37" s="770">
        <v>0.95</v>
      </c>
      <c r="D37" s="771">
        <v>1.64</v>
      </c>
      <c r="E37" s="772">
        <v>1.58</v>
      </c>
      <c r="F37" s="769">
        <v>2.74</v>
      </c>
      <c r="G37" s="773">
        <v>2.5</v>
      </c>
      <c r="H37" s="771">
        <v>3.63</v>
      </c>
      <c r="I37" s="772">
        <v>3.6</v>
      </c>
      <c r="J37" s="774">
        <v>2.88</v>
      </c>
      <c r="K37" s="775">
        <v>2.84</v>
      </c>
      <c r="L37" s="777">
        <v>5.44</v>
      </c>
      <c r="M37" s="776">
        <v>5.56</v>
      </c>
      <c r="P37" s="768"/>
    </row>
    <row r="38" spans="1:16" ht="14.25" hidden="1" x14ac:dyDescent="0.2">
      <c r="A38" s="764">
        <v>0.6</v>
      </c>
      <c r="B38" s="769">
        <v>1.1240000000000001</v>
      </c>
      <c r="C38" s="770">
        <v>1.0580000000000001</v>
      </c>
      <c r="D38" s="771">
        <f t="shared" ref="D38:M38" si="4">(D42-D37)/5*1+D37</f>
        <v>1.8839999999999999</v>
      </c>
      <c r="E38" s="772">
        <f t="shared" si="4"/>
        <v>1.786</v>
      </c>
      <c r="F38" s="769">
        <f t="shared" si="4"/>
        <v>3.4026000000000001</v>
      </c>
      <c r="G38" s="773">
        <f t="shared" si="4"/>
        <v>2.9140000000000001</v>
      </c>
      <c r="H38" s="771">
        <f t="shared" si="4"/>
        <v>4.3579999999999997</v>
      </c>
      <c r="I38" s="772">
        <f t="shared" si="4"/>
        <v>4.3120000000000003</v>
      </c>
      <c r="J38" s="774">
        <f t="shared" si="4"/>
        <v>3.972</v>
      </c>
      <c r="K38" s="775">
        <f t="shared" si="4"/>
        <v>3.9359999999999999</v>
      </c>
      <c r="L38" s="777">
        <f t="shared" si="4"/>
        <v>6.75</v>
      </c>
      <c r="M38" s="776">
        <f t="shared" si="4"/>
        <v>6.9159999999999995</v>
      </c>
      <c r="P38" s="768"/>
    </row>
    <row r="39" spans="1:16" ht="14.25" hidden="1" x14ac:dyDescent="0.2">
      <c r="A39" s="764">
        <v>0.7</v>
      </c>
      <c r="B39" s="769">
        <v>1.248</v>
      </c>
      <c r="C39" s="770">
        <v>1.1659999999999999</v>
      </c>
      <c r="D39" s="771">
        <f t="shared" ref="D39:M39" si="5">(D42-D37)/5*2+D37</f>
        <v>2.1280000000000001</v>
      </c>
      <c r="E39" s="772">
        <f t="shared" si="5"/>
        <v>1.992</v>
      </c>
      <c r="F39" s="769">
        <f t="shared" si="5"/>
        <v>4.0651999999999999</v>
      </c>
      <c r="G39" s="773">
        <f t="shared" si="5"/>
        <v>3.3280000000000003</v>
      </c>
      <c r="H39" s="777">
        <f t="shared" si="5"/>
        <v>5.0860000000000003</v>
      </c>
      <c r="I39" s="772">
        <f t="shared" si="5"/>
        <v>5.024</v>
      </c>
      <c r="J39" s="778">
        <f t="shared" si="5"/>
        <v>5.0640000000000001</v>
      </c>
      <c r="K39" s="775">
        <f t="shared" si="5"/>
        <v>5.032</v>
      </c>
      <c r="L39" s="777">
        <f t="shared" si="5"/>
        <v>8.06</v>
      </c>
      <c r="M39" s="776">
        <f t="shared" si="5"/>
        <v>8.2720000000000002</v>
      </c>
      <c r="P39" s="768"/>
    </row>
    <row r="40" spans="1:16" ht="14.25" hidden="1" x14ac:dyDescent="0.2">
      <c r="A40" s="764">
        <v>0.8</v>
      </c>
      <c r="B40" s="769">
        <v>1.3720000000000001</v>
      </c>
      <c r="C40" s="770">
        <v>1.274</v>
      </c>
      <c r="D40" s="771">
        <f t="shared" ref="D40:M40" si="6">(D42-D37)/5*3+D37</f>
        <v>2.3719999999999999</v>
      </c>
      <c r="E40" s="772">
        <f t="shared" si="6"/>
        <v>2.198</v>
      </c>
      <c r="F40" s="769">
        <f t="shared" si="6"/>
        <v>4.7278000000000002</v>
      </c>
      <c r="G40" s="773">
        <f t="shared" si="6"/>
        <v>3.742</v>
      </c>
      <c r="H40" s="777">
        <f t="shared" si="6"/>
        <v>5.8140000000000001</v>
      </c>
      <c r="I40" s="772">
        <f t="shared" si="6"/>
        <v>5.7360000000000007</v>
      </c>
      <c r="J40" s="778">
        <f t="shared" si="6"/>
        <v>6.1560000000000006</v>
      </c>
      <c r="K40" s="775">
        <f t="shared" si="6"/>
        <v>6.1280000000000001</v>
      </c>
      <c r="L40" s="777">
        <f t="shared" si="6"/>
        <v>9.370000000000001</v>
      </c>
      <c r="M40" s="776">
        <f t="shared" si="6"/>
        <v>9.6280000000000001</v>
      </c>
      <c r="P40" s="768"/>
    </row>
    <row r="41" spans="1:16" ht="14.25" hidden="1" x14ac:dyDescent="0.2">
      <c r="A41" s="764">
        <v>0.9</v>
      </c>
      <c r="B41" s="769">
        <v>1.496</v>
      </c>
      <c r="C41" s="770">
        <v>1.3820000000000001</v>
      </c>
      <c r="D41" s="771">
        <f t="shared" ref="D41:M41" si="7">(D42-D37)/5*4+D37</f>
        <v>2.6159999999999997</v>
      </c>
      <c r="E41" s="772">
        <f t="shared" si="7"/>
        <v>2.4039999999999999</v>
      </c>
      <c r="F41" s="779">
        <f t="shared" si="7"/>
        <v>5.3903999999999996</v>
      </c>
      <c r="G41" s="773">
        <f t="shared" si="7"/>
        <v>4.1560000000000006</v>
      </c>
      <c r="H41" s="777">
        <f t="shared" si="7"/>
        <v>6.5419999999999998</v>
      </c>
      <c r="I41" s="772">
        <f t="shared" si="7"/>
        <v>6.4480000000000004</v>
      </c>
      <c r="J41" s="778">
        <f t="shared" si="7"/>
        <v>7.2480000000000002</v>
      </c>
      <c r="K41" s="775">
        <f t="shared" si="7"/>
        <v>7.2240000000000002</v>
      </c>
      <c r="L41" s="777">
        <f t="shared" si="7"/>
        <v>10.68</v>
      </c>
      <c r="M41" s="776">
        <f t="shared" si="7"/>
        <v>10.984</v>
      </c>
      <c r="P41" s="768"/>
    </row>
    <row r="42" spans="1:16" ht="14.25" hidden="1" x14ac:dyDescent="0.2">
      <c r="A42" s="764">
        <v>1</v>
      </c>
      <c r="B42" s="769">
        <v>1.62</v>
      </c>
      <c r="C42" s="770">
        <v>1.49</v>
      </c>
      <c r="D42" s="771">
        <v>2.86</v>
      </c>
      <c r="E42" s="772">
        <v>2.61</v>
      </c>
      <c r="F42" s="779">
        <v>6.0529999999999999</v>
      </c>
      <c r="G42" s="773">
        <v>4.57</v>
      </c>
      <c r="H42" s="777">
        <v>7.27</v>
      </c>
      <c r="I42" s="772">
        <v>7.16</v>
      </c>
      <c r="J42" s="778">
        <v>8.34</v>
      </c>
      <c r="K42" s="775">
        <v>8.32</v>
      </c>
      <c r="L42" s="777">
        <v>11.99</v>
      </c>
      <c r="M42" s="776">
        <v>12.34</v>
      </c>
      <c r="P42" s="768"/>
    </row>
    <row r="43" spans="1:16" ht="14.25" hidden="1" x14ac:dyDescent="0.2">
      <c r="A43" s="764">
        <v>1.1000000000000001</v>
      </c>
      <c r="B43" s="769">
        <v>1.7240000000000002</v>
      </c>
      <c r="C43" s="770">
        <v>1.5720000000000001</v>
      </c>
      <c r="D43" s="771">
        <f t="shared" ref="D43:M43" si="8">(D47-D42)/5*1+D42</f>
        <v>3.05</v>
      </c>
      <c r="E43" s="772">
        <f t="shared" si="8"/>
        <v>2.7839999999999998</v>
      </c>
      <c r="F43" s="779">
        <f t="shared" si="8"/>
        <v>7.0844000000000005</v>
      </c>
      <c r="G43" s="773">
        <f t="shared" si="8"/>
        <v>4.9460000000000006</v>
      </c>
      <c r="H43" s="777">
        <f t="shared" si="8"/>
        <v>8.0179999999999989</v>
      </c>
      <c r="I43" s="772">
        <f t="shared" si="8"/>
        <v>7.8220000000000001</v>
      </c>
      <c r="J43" s="778">
        <f t="shared" si="8"/>
        <v>9.4960000000000004</v>
      </c>
      <c r="K43" s="775">
        <f t="shared" si="8"/>
        <v>9.2759999999999998</v>
      </c>
      <c r="L43" s="777">
        <f t="shared" si="8"/>
        <v>13.122</v>
      </c>
      <c r="M43" s="776">
        <f t="shared" si="8"/>
        <v>13.39</v>
      </c>
      <c r="P43" s="768"/>
    </row>
    <row r="44" spans="1:16" ht="14.25" hidden="1" x14ac:dyDescent="0.2">
      <c r="A44" s="764">
        <v>1.2</v>
      </c>
      <c r="B44" s="769">
        <v>1.8280000000000001</v>
      </c>
      <c r="C44" s="770">
        <v>1.6539999999999999</v>
      </c>
      <c r="D44" s="771">
        <f t="shared" ref="D44:M44" si="9">(D47-D42)/5*2+D42</f>
        <v>3.2399999999999998</v>
      </c>
      <c r="E44" s="772">
        <f t="shared" si="9"/>
        <v>2.9579999999999997</v>
      </c>
      <c r="F44" s="779">
        <f t="shared" si="9"/>
        <v>8.1158000000000001</v>
      </c>
      <c r="G44" s="773">
        <f t="shared" si="9"/>
        <v>5.3220000000000001</v>
      </c>
      <c r="H44" s="777">
        <f t="shared" si="9"/>
        <v>8.766</v>
      </c>
      <c r="I44" s="772">
        <f t="shared" si="9"/>
        <v>8.484</v>
      </c>
      <c r="J44" s="778">
        <f t="shared" si="9"/>
        <v>10.651999999999999</v>
      </c>
      <c r="K44" s="775">
        <f t="shared" si="9"/>
        <v>10.231999999999999</v>
      </c>
      <c r="L44" s="777">
        <f t="shared" si="9"/>
        <v>14.254</v>
      </c>
      <c r="M44" s="776">
        <f t="shared" si="9"/>
        <v>14.44</v>
      </c>
      <c r="P44" s="768"/>
    </row>
    <row r="45" spans="1:16" ht="14.25" hidden="1" x14ac:dyDescent="0.2">
      <c r="A45" s="764">
        <v>1.3</v>
      </c>
      <c r="B45" s="769">
        <v>1.9320000000000002</v>
      </c>
      <c r="C45" s="770">
        <v>1.736</v>
      </c>
      <c r="D45" s="771">
        <f t="shared" ref="D45:M45" si="10">(D47-D42)/5*3+D42</f>
        <v>3.4299999999999997</v>
      </c>
      <c r="E45" s="772">
        <f t="shared" si="10"/>
        <v>3.1319999999999997</v>
      </c>
      <c r="F45" s="779">
        <f t="shared" si="10"/>
        <v>9.1471999999999998</v>
      </c>
      <c r="G45" s="773">
        <f t="shared" si="10"/>
        <v>5.6980000000000004</v>
      </c>
      <c r="H45" s="777">
        <f t="shared" si="10"/>
        <v>9.5139999999999993</v>
      </c>
      <c r="I45" s="772">
        <f t="shared" si="10"/>
        <v>9.1460000000000008</v>
      </c>
      <c r="J45" s="778">
        <f t="shared" si="10"/>
        <v>11.808</v>
      </c>
      <c r="K45" s="775">
        <f t="shared" si="10"/>
        <v>11.187999999999999</v>
      </c>
      <c r="L45" s="777">
        <f t="shared" si="10"/>
        <v>15.385999999999999</v>
      </c>
      <c r="M45" s="776">
        <f t="shared" si="10"/>
        <v>15.49</v>
      </c>
      <c r="P45" s="768"/>
    </row>
    <row r="46" spans="1:16" ht="14.25" hidden="1" x14ac:dyDescent="0.2">
      <c r="A46" s="764">
        <v>1.4</v>
      </c>
      <c r="B46" s="769">
        <v>2.036</v>
      </c>
      <c r="C46" s="770">
        <v>1.8180000000000001</v>
      </c>
      <c r="D46" s="771">
        <f t="shared" ref="D46:M46" si="11">(D47-D42)/5*4+D42</f>
        <v>3.62</v>
      </c>
      <c r="E46" s="772">
        <f t="shared" si="11"/>
        <v>3.306</v>
      </c>
      <c r="F46" s="779">
        <f t="shared" si="11"/>
        <v>10.178599999999999</v>
      </c>
      <c r="G46" s="773">
        <f t="shared" si="11"/>
        <v>6.0739999999999998</v>
      </c>
      <c r="H46" s="777">
        <f t="shared" si="11"/>
        <v>10.262</v>
      </c>
      <c r="I46" s="772">
        <f t="shared" si="11"/>
        <v>9.8079999999999998</v>
      </c>
      <c r="J46" s="778">
        <f t="shared" si="11"/>
        <v>12.963999999999999</v>
      </c>
      <c r="K46" s="775">
        <f t="shared" si="11"/>
        <v>12.144</v>
      </c>
      <c r="L46" s="777">
        <f t="shared" si="11"/>
        <v>16.518000000000001</v>
      </c>
      <c r="M46" s="776">
        <f t="shared" si="11"/>
        <v>16.54</v>
      </c>
      <c r="P46" s="768"/>
    </row>
    <row r="47" spans="1:16" ht="14.25" hidden="1" x14ac:dyDescent="0.2">
      <c r="A47" s="764">
        <v>1.5</v>
      </c>
      <c r="B47" s="769">
        <v>2.14</v>
      </c>
      <c r="C47" s="770">
        <v>1.9</v>
      </c>
      <c r="D47" s="771">
        <v>3.81</v>
      </c>
      <c r="E47" s="772">
        <v>3.48</v>
      </c>
      <c r="F47" s="779">
        <v>11.21</v>
      </c>
      <c r="G47" s="773">
        <v>6.45</v>
      </c>
      <c r="H47" s="777">
        <v>11.01</v>
      </c>
      <c r="I47" s="772">
        <v>10.47</v>
      </c>
      <c r="J47" s="778">
        <v>14.12</v>
      </c>
      <c r="K47" s="775">
        <v>13.1</v>
      </c>
      <c r="L47" s="777">
        <v>17.649999999999999</v>
      </c>
      <c r="M47" s="776">
        <v>17.59</v>
      </c>
      <c r="P47" s="768"/>
    </row>
    <row r="48" spans="1:16" ht="14.25" hidden="1" x14ac:dyDescent="0.2">
      <c r="A48" s="764">
        <v>1.6</v>
      </c>
      <c r="B48" s="769">
        <v>2.242</v>
      </c>
      <c r="C48" s="770">
        <v>1.974</v>
      </c>
      <c r="D48" s="771">
        <f t="shared" ref="D48:M48" si="12">(D52-D47)/5*1+D47</f>
        <v>4.0019999999999998</v>
      </c>
      <c r="E48" s="772">
        <f t="shared" si="12"/>
        <v>3.6219999999999999</v>
      </c>
      <c r="F48" s="779">
        <f t="shared" si="12"/>
        <v>12.142000000000001</v>
      </c>
      <c r="G48" s="773">
        <f t="shared" si="12"/>
        <v>6.6820000000000004</v>
      </c>
      <c r="H48" s="777">
        <f t="shared" si="12"/>
        <v>11.54</v>
      </c>
      <c r="I48" s="772">
        <f t="shared" si="12"/>
        <v>10.968</v>
      </c>
      <c r="J48" s="778">
        <f t="shared" si="12"/>
        <v>15.03</v>
      </c>
      <c r="K48" s="775">
        <f t="shared" si="12"/>
        <v>13.736000000000001</v>
      </c>
      <c r="L48" s="777">
        <f t="shared" si="12"/>
        <v>18.667999999999999</v>
      </c>
      <c r="M48" s="776">
        <f t="shared" si="12"/>
        <v>18.498000000000001</v>
      </c>
      <c r="P48" s="768"/>
    </row>
    <row r="49" spans="1:16" ht="14.25" hidden="1" x14ac:dyDescent="0.2">
      <c r="A49" s="764">
        <v>1.7</v>
      </c>
      <c r="B49" s="769">
        <v>2.3439999999999999</v>
      </c>
      <c r="C49" s="770">
        <v>2.048</v>
      </c>
      <c r="D49" s="771">
        <f t="shared" ref="D49:M49" si="13">(D52-D47)/5*2+D47</f>
        <v>4.194</v>
      </c>
      <c r="E49" s="772">
        <f t="shared" si="13"/>
        <v>3.7640000000000002</v>
      </c>
      <c r="F49" s="779">
        <f t="shared" si="13"/>
        <v>13.074</v>
      </c>
      <c r="G49" s="773">
        <f t="shared" si="13"/>
        <v>6.9140000000000006</v>
      </c>
      <c r="H49" s="777">
        <f t="shared" si="13"/>
        <v>12.07</v>
      </c>
      <c r="I49" s="772">
        <f t="shared" si="13"/>
        <v>11.466000000000001</v>
      </c>
      <c r="J49" s="778">
        <f t="shared" si="13"/>
        <v>15.94</v>
      </c>
      <c r="K49" s="775">
        <f t="shared" si="13"/>
        <v>14.372</v>
      </c>
      <c r="L49" s="777">
        <f t="shared" si="13"/>
        <v>19.686</v>
      </c>
      <c r="M49" s="776">
        <f t="shared" si="13"/>
        <v>19.405999999999999</v>
      </c>
      <c r="P49" s="768"/>
    </row>
    <row r="50" spans="1:16" ht="14.25" hidden="1" x14ac:dyDescent="0.2">
      <c r="A50" s="764">
        <v>1.8</v>
      </c>
      <c r="B50" s="769">
        <v>2.4459999999999997</v>
      </c>
      <c r="C50" s="770">
        <v>2.1219999999999999</v>
      </c>
      <c r="D50" s="771">
        <f t="shared" ref="D50:M50" si="14">(D52-D47)/5*3+D47</f>
        <v>4.3859999999999992</v>
      </c>
      <c r="E50" s="772">
        <f t="shared" si="14"/>
        <v>3.9060000000000001</v>
      </c>
      <c r="F50" s="779">
        <f t="shared" si="14"/>
        <v>14.006</v>
      </c>
      <c r="G50" s="773">
        <f t="shared" si="14"/>
        <v>7.1460000000000008</v>
      </c>
      <c r="H50" s="777">
        <f t="shared" si="14"/>
        <v>12.6</v>
      </c>
      <c r="I50" s="772">
        <f t="shared" si="14"/>
        <v>11.964</v>
      </c>
      <c r="J50" s="778">
        <f t="shared" si="14"/>
        <v>16.850000000000001</v>
      </c>
      <c r="K50" s="775">
        <f t="shared" si="14"/>
        <v>15.008000000000001</v>
      </c>
      <c r="L50" s="777">
        <f t="shared" si="14"/>
        <v>20.704000000000001</v>
      </c>
      <c r="M50" s="776">
        <f t="shared" si="14"/>
        <v>20.314</v>
      </c>
      <c r="P50" s="768"/>
    </row>
    <row r="51" spans="1:16" ht="14.25" hidden="1" x14ac:dyDescent="0.2">
      <c r="A51" s="764">
        <v>1.9</v>
      </c>
      <c r="B51" s="769">
        <v>2.548</v>
      </c>
      <c r="C51" s="770">
        <v>2.1960000000000002</v>
      </c>
      <c r="D51" s="771">
        <f t="shared" ref="D51:M51" si="15">(D52-D47)/5*4+D47</f>
        <v>4.5779999999999994</v>
      </c>
      <c r="E51" s="772">
        <f t="shared" si="15"/>
        <v>4.048</v>
      </c>
      <c r="F51" s="779">
        <f t="shared" si="15"/>
        <v>14.937999999999999</v>
      </c>
      <c r="G51" s="773">
        <f t="shared" si="15"/>
        <v>7.3780000000000001</v>
      </c>
      <c r="H51" s="777">
        <f t="shared" si="15"/>
        <v>13.129999999999999</v>
      </c>
      <c r="I51" s="772">
        <f t="shared" si="15"/>
        <v>12.462000000000002</v>
      </c>
      <c r="J51" s="778">
        <f t="shared" si="15"/>
        <v>17.760000000000002</v>
      </c>
      <c r="K51" s="775">
        <f t="shared" si="15"/>
        <v>15.644000000000002</v>
      </c>
      <c r="L51" s="777">
        <f t="shared" si="15"/>
        <v>21.721999999999998</v>
      </c>
      <c r="M51" s="776">
        <f t="shared" si="15"/>
        <v>21.221999999999998</v>
      </c>
      <c r="P51" s="768"/>
    </row>
    <row r="52" spans="1:16" ht="14.25" hidden="1" x14ac:dyDescent="0.2">
      <c r="A52" s="764">
        <v>2</v>
      </c>
      <c r="B52" s="769">
        <v>2.65</v>
      </c>
      <c r="C52" s="770">
        <v>2.27</v>
      </c>
      <c r="D52" s="771">
        <v>4.7699999999999996</v>
      </c>
      <c r="E52" s="772">
        <v>4.1900000000000004</v>
      </c>
      <c r="F52" s="779">
        <v>15.87</v>
      </c>
      <c r="G52" s="773">
        <v>7.61</v>
      </c>
      <c r="H52" s="777">
        <v>13.66</v>
      </c>
      <c r="I52" s="772">
        <v>12.96</v>
      </c>
      <c r="J52" s="778">
        <v>18.670000000000002</v>
      </c>
      <c r="K52" s="775">
        <v>16.28</v>
      </c>
      <c r="L52" s="777">
        <v>22.74</v>
      </c>
      <c r="M52" s="776">
        <v>22.13</v>
      </c>
      <c r="P52" s="768"/>
    </row>
    <row r="53" spans="1:16" ht="14.25" hidden="1" x14ac:dyDescent="0.2">
      <c r="A53" s="764">
        <v>2.1</v>
      </c>
      <c r="B53" s="769">
        <v>2.698</v>
      </c>
      <c r="C53" s="770">
        <v>2.3159999999999998</v>
      </c>
      <c r="D53" s="771">
        <f t="shared" ref="D53:M53" si="16">(D57-D52)/5*1+D52</f>
        <v>4.92</v>
      </c>
      <c r="E53" s="772">
        <f t="shared" si="16"/>
        <v>4.3240000000000007</v>
      </c>
      <c r="F53" s="779">
        <f t="shared" si="16"/>
        <v>16.838000000000001</v>
      </c>
      <c r="G53" s="773">
        <f t="shared" si="16"/>
        <v>7.8280000000000003</v>
      </c>
      <c r="H53" s="777">
        <f t="shared" si="16"/>
        <v>14.132</v>
      </c>
      <c r="I53" s="772">
        <f t="shared" si="16"/>
        <v>13.416</v>
      </c>
      <c r="J53" s="778">
        <f t="shared" si="16"/>
        <v>19.542000000000002</v>
      </c>
      <c r="K53" s="775">
        <f t="shared" si="16"/>
        <v>16.87</v>
      </c>
      <c r="L53" s="777">
        <f t="shared" si="16"/>
        <v>23.765999999999998</v>
      </c>
      <c r="M53" s="776">
        <f t="shared" si="16"/>
        <v>22.834</v>
      </c>
      <c r="P53" s="768"/>
    </row>
    <row r="54" spans="1:16" ht="14.25" hidden="1" x14ac:dyDescent="0.2">
      <c r="A54" s="764">
        <v>2.2000000000000002</v>
      </c>
      <c r="B54" s="769">
        <v>2.746</v>
      </c>
      <c r="C54" s="770">
        <v>2.3620000000000001</v>
      </c>
      <c r="D54" s="777">
        <f t="shared" ref="D54:M54" si="17">(D57-D52)/5*2+D52</f>
        <v>5.0699999999999994</v>
      </c>
      <c r="E54" s="772">
        <f t="shared" si="17"/>
        <v>4.4580000000000002</v>
      </c>
      <c r="F54" s="779">
        <f t="shared" si="17"/>
        <v>17.806000000000001</v>
      </c>
      <c r="G54" s="773">
        <f t="shared" si="17"/>
        <v>8.0459999999999994</v>
      </c>
      <c r="H54" s="777">
        <f t="shared" si="17"/>
        <v>14.603999999999999</v>
      </c>
      <c r="I54" s="772">
        <f t="shared" si="17"/>
        <v>13.872</v>
      </c>
      <c r="J54" s="778">
        <f t="shared" si="17"/>
        <v>20.414000000000001</v>
      </c>
      <c r="K54" s="775">
        <f t="shared" si="17"/>
        <v>17.46</v>
      </c>
      <c r="L54" s="777">
        <f t="shared" si="17"/>
        <v>24.791999999999998</v>
      </c>
      <c r="M54" s="776">
        <f t="shared" si="17"/>
        <v>23.538</v>
      </c>
      <c r="P54" s="768"/>
    </row>
    <row r="55" spans="1:16" ht="14.25" hidden="1" x14ac:dyDescent="0.2">
      <c r="A55" s="764">
        <v>2.2999999999999998</v>
      </c>
      <c r="B55" s="769">
        <v>2.794</v>
      </c>
      <c r="C55" s="770">
        <v>2.4079999999999999</v>
      </c>
      <c r="D55" s="777">
        <f t="shared" ref="D55:M55" si="18">(D57-D52)/5*3+D52</f>
        <v>5.22</v>
      </c>
      <c r="E55" s="772">
        <f t="shared" si="18"/>
        <v>4.5920000000000005</v>
      </c>
      <c r="F55" s="779">
        <f t="shared" si="18"/>
        <v>18.774000000000001</v>
      </c>
      <c r="G55" s="773">
        <f t="shared" si="18"/>
        <v>8.2639999999999993</v>
      </c>
      <c r="H55" s="777">
        <f t="shared" si="18"/>
        <v>15.076000000000001</v>
      </c>
      <c r="I55" s="772">
        <f t="shared" si="18"/>
        <v>14.327999999999999</v>
      </c>
      <c r="J55" s="778">
        <f t="shared" si="18"/>
        <v>21.286000000000001</v>
      </c>
      <c r="K55" s="775">
        <f t="shared" si="18"/>
        <v>18.05</v>
      </c>
      <c r="L55" s="777">
        <f t="shared" si="18"/>
        <v>25.817999999999998</v>
      </c>
      <c r="M55" s="776">
        <f t="shared" si="18"/>
        <v>24.241999999999997</v>
      </c>
      <c r="P55" s="768"/>
    </row>
    <row r="56" spans="1:16" ht="14.25" hidden="1" x14ac:dyDescent="0.2">
      <c r="A56" s="764">
        <v>2.4</v>
      </c>
      <c r="B56" s="769">
        <v>2.8420000000000001</v>
      </c>
      <c r="C56" s="770">
        <v>2.4540000000000002</v>
      </c>
      <c r="D56" s="777">
        <f t="shared" ref="D56:M56" si="19">(D57-D52)/5*4+D52</f>
        <v>5.3699999999999992</v>
      </c>
      <c r="E56" s="772">
        <f t="shared" si="19"/>
        <v>4.726</v>
      </c>
      <c r="F56" s="779">
        <f t="shared" si="19"/>
        <v>19.742000000000001</v>
      </c>
      <c r="G56" s="773">
        <f t="shared" si="19"/>
        <v>8.4819999999999993</v>
      </c>
      <c r="H56" s="777">
        <f t="shared" si="19"/>
        <v>15.548</v>
      </c>
      <c r="I56" s="772">
        <f t="shared" si="19"/>
        <v>14.784000000000001</v>
      </c>
      <c r="J56" s="778">
        <f t="shared" si="19"/>
        <v>22.158000000000001</v>
      </c>
      <c r="K56" s="775">
        <f t="shared" si="19"/>
        <v>18.64</v>
      </c>
      <c r="L56" s="777">
        <f t="shared" si="19"/>
        <v>26.844000000000001</v>
      </c>
      <c r="M56" s="776">
        <f t="shared" si="19"/>
        <v>24.945999999999998</v>
      </c>
      <c r="P56" s="768"/>
    </row>
    <row r="57" spans="1:16" ht="14.25" hidden="1" x14ac:dyDescent="0.2">
      <c r="A57" s="764">
        <v>2.5</v>
      </c>
      <c r="B57" s="769">
        <v>2.89</v>
      </c>
      <c r="C57" s="770">
        <v>2.5</v>
      </c>
      <c r="D57" s="777">
        <v>5.52</v>
      </c>
      <c r="E57" s="772">
        <v>4.8600000000000003</v>
      </c>
      <c r="F57" s="779">
        <v>20.71</v>
      </c>
      <c r="G57" s="773">
        <v>8.6999999999999993</v>
      </c>
      <c r="H57" s="777">
        <v>16.02</v>
      </c>
      <c r="I57" s="772">
        <v>15.24</v>
      </c>
      <c r="J57" s="778">
        <v>23.03</v>
      </c>
      <c r="K57" s="775">
        <v>19.23</v>
      </c>
      <c r="L57" s="777">
        <v>27.87</v>
      </c>
      <c r="M57" s="776">
        <v>25.65</v>
      </c>
      <c r="P57" s="768"/>
    </row>
    <row r="58" spans="1:16" ht="14.25" hidden="1" x14ac:dyDescent="0.2">
      <c r="A58" s="764">
        <v>2.6</v>
      </c>
      <c r="B58" s="769">
        <v>3.1160000000000001</v>
      </c>
      <c r="C58" s="770">
        <v>2.5779999999999998</v>
      </c>
      <c r="D58" s="777">
        <f t="shared" ref="D58:M58" si="20">(D62-D57)/5*1+D57</f>
        <v>5.7159999999999993</v>
      </c>
      <c r="E58" s="772">
        <f t="shared" si="20"/>
        <v>4.9860000000000007</v>
      </c>
      <c r="F58" s="779">
        <f t="shared" si="20"/>
        <v>21.565999999999999</v>
      </c>
      <c r="G58" s="773">
        <f t="shared" si="20"/>
        <v>8.84</v>
      </c>
      <c r="H58" s="777">
        <f t="shared" si="20"/>
        <v>16.457999999999998</v>
      </c>
      <c r="I58" s="772">
        <f t="shared" si="20"/>
        <v>15.646000000000001</v>
      </c>
      <c r="J58" s="778">
        <f t="shared" si="20"/>
        <v>23.812000000000001</v>
      </c>
      <c r="K58" s="775">
        <f t="shared" si="20"/>
        <v>19.722000000000001</v>
      </c>
      <c r="L58" s="777">
        <f t="shared" si="20"/>
        <v>28.76</v>
      </c>
      <c r="M58" s="776">
        <f t="shared" si="20"/>
        <v>26.411999999999999</v>
      </c>
      <c r="P58" s="768"/>
    </row>
    <row r="59" spans="1:16" ht="14.25" hidden="1" x14ac:dyDescent="0.2">
      <c r="A59" s="764">
        <v>2.7</v>
      </c>
      <c r="B59" s="769">
        <v>3.3420000000000001</v>
      </c>
      <c r="C59" s="770">
        <v>2.6560000000000001</v>
      </c>
      <c r="D59" s="777">
        <f t="shared" ref="D59:M59" si="21">(D62-D57)/5*2+D57</f>
        <v>5.9119999999999999</v>
      </c>
      <c r="E59" s="772">
        <f t="shared" si="21"/>
        <v>5.1120000000000001</v>
      </c>
      <c r="F59" s="779">
        <f t="shared" si="21"/>
        <v>22.422000000000001</v>
      </c>
      <c r="G59" s="773">
        <f t="shared" si="21"/>
        <v>8.98</v>
      </c>
      <c r="H59" s="777">
        <f t="shared" si="21"/>
        <v>16.896000000000001</v>
      </c>
      <c r="I59" s="772">
        <f t="shared" si="21"/>
        <v>16.052</v>
      </c>
      <c r="J59" s="778">
        <f t="shared" si="21"/>
        <v>24.594000000000001</v>
      </c>
      <c r="K59" s="775">
        <f t="shared" si="21"/>
        <v>20.214000000000002</v>
      </c>
      <c r="L59" s="777">
        <f t="shared" si="21"/>
        <v>29.650000000000002</v>
      </c>
      <c r="M59" s="776">
        <f t="shared" si="21"/>
        <v>27.173999999999999</v>
      </c>
      <c r="P59" s="768"/>
    </row>
    <row r="60" spans="1:16" ht="14.25" hidden="1" x14ac:dyDescent="0.2">
      <c r="A60" s="764">
        <v>2.8</v>
      </c>
      <c r="B60" s="769">
        <v>3.5679999999999996</v>
      </c>
      <c r="C60" s="770">
        <v>2.734</v>
      </c>
      <c r="D60" s="777">
        <f t="shared" ref="D60:M60" si="22">(D62-D57)/5*3+D57</f>
        <v>6.1079999999999997</v>
      </c>
      <c r="E60" s="772">
        <f t="shared" si="22"/>
        <v>5.2380000000000004</v>
      </c>
      <c r="F60" s="779">
        <f t="shared" si="22"/>
        <v>23.277999999999999</v>
      </c>
      <c r="G60" s="773">
        <f t="shared" si="22"/>
        <v>9.1199999999999992</v>
      </c>
      <c r="H60" s="777">
        <f t="shared" si="22"/>
        <v>17.334</v>
      </c>
      <c r="I60" s="772">
        <f t="shared" si="22"/>
        <v>16.457999999999998</v>
      </c>
      <c r="J60" s="778">
        <f t="shared" si="22"/>
        <v>25.376000000000001</v>
      </c>
      <c r="K60" s="775">
        <f t="shared" si="22"/>
        <v>20.706</v>
      </c>
      <c r="L60" s="777">
        <f t="shared" si="22"/>
        <v>30.54</v>
      </c>
      <c r="M60" s="776">
        <f t="shared" si="22"/>
        <v>27.936</v>
      </c>
      <c r="P60" s="768"/>
    </row>
    <row r="61" spans="1:16" ht="14.25" hidden="1" x14ac:dyDescent="0.2">
      <c r="A61" s="764">
        <v>2.9</v>
      </c>
      <c r="B61" s="769">
        <v>3.7939999999999996</v>
      </c>
      <c r="C61" s="770">
        <v>2.8120000000000003</v>
      </c>
      <c r="D61" s="777">
        <f t="shared" ref="D61:M61" si="23">(D62-D57)/5*4+D57</f>
        <v>6.3040000000000003</v>
      </c>
      <c r="E61" s="772">
        <f t="shared" si="23"/>
        <v>5.3639999999999999</v>
      </c>
      <c r="F61" s="779">
        <f t="shared" si="23"/>
        <v>24.134</v>
      </c>
      <c r="G61" s="773">
        <f t="shared" si="23"/>
        <v>9.26</v>
      </c>
      <c r="H61" s="777">
        <f t="shared" si="23"/>
        <v>17.772000000000002</v>
      </c>
      <c r="I61" s="772">
        <f t="shared" si="23"/>
        <v>16.864000000000001</v>
      </c>
      <c r="J61" s="778">
        <f t="shared" si="23"/>
        <v>26.158000000000001</v>
      </c>
      <c r="K61" s="775">
        <f t="shared" si="23"/>
        <v>21.198</v>
      </c>
      <c r="L61" s="777">
        <f t="shared" si="23"/>
        <v>31.43</v>
      </c>
      <c r="M61" s="776">
        <f t="shared" si="23"/>
        <v>28.698</v>
      </c>
      <c r="P61" s="768"/>
    </row>
    <row r="62" spans="1:16" ht="14.25" hidden="1" x14ac:dyDescent="0.2">
      <c r="A62" s="764">
        <v>3</v>
      </c>
      <c r="B62" s="769">
        <v>4.0199999999999996</v>
      </c>
      <c r="C62" s="770">
        <v>2.89</v>
      </c>
      <c r="D62" s="777">
        <v>6.5</v>
      </c>
      <c r="E62" s="772">
        <v>5.49</v>
      </c>
      <c r="F62" s="779">
        <v>24.99</v>
      </c>
      <c r="G62" s="773">
        <v>9.4</v>
      </c>
      <c r="H62" s="777">
        <v>18.21</v>
      </c>
      <c r="I62" s="772">
        <v>17.27</v>
      </c>
      <c r="J62" s="778">
        <v>26.94</v>
      </c>
      <c r="K62" s="775">
        <v>21.69</v>
      </c>
      <c r="L62" s="777">
        <v>32.32</v>
      </c>
      <c r="M62" s="776">
        <v>29.46</v>
      </c>
      <c r="P62" s="768"/>
    </row>
    <row r="63" spans="1:16" ht="14.25" hidden="1" x14ac:dyDescent="0.2">
      <c r="A63" s="764">
        <v>3.1</v>
      </c>
      <c r="B63" s="769">
        <v>4.2879999999999994</v>
      </c>
      <c r="C63" s="770">
        <v>2.952</v>
      </c>
      <c r="D63" s="777">
        <f t="shared" ref="D63:M63" si="24">(D67-D62)/5*1+D62</f>
        <v>6.7720000000000002</v>
      </c>
      <c r="E63" s="772">
        <f t="shared" si="24"/>
        <v>5.61</v>
      </c>
      <c r="F63" s="779">
        <f t="shared" si="24"/>
        <v>26.193999999999999</v>
      </c>
      <c r="G63" s="773">
        <f t="shared" si="24"/>
        <v>9.5440000000000005</v>
      </c>
      <c r="H63" s="777">
        <f t="shared" si="24"/>
        <v>18.718</v>
      </c>
      <c r="I63" s="772">
        <f t="shared" si="24"/>
        <v>17.681999999999999</v>
      </c>
      <c r="J63" s="778">
        <f t="shared" si="24"/>
        <v>28.148</v>
      </c>
      <c r="K63" s="775">
        <f t="shared" si="24"/>
        <v>22.166</v>
      </c>
      <c r="L63" s="777">
        <f t="shared" si="24"/>
        <v>33.332000000000001</v>
      </c>
      <c r="M63" s="776">
        <f t="shared" si="24"/>
        <v>30.194000000000003</v>
      </c>
      <c r="P63" s="768"/>
    </row>
    <row r="64" spans="1:16" ht="14.25" hidden="1" x14ac:dyDescent="0.2">
      <c r="A64" s="764">
        <v>3.2</v>
      </c>
      <c r="B64" s="769">
        <v>4.556</v>
      </c>
      <c r="C64" s="770">
        <v>3.0140000000000002</v>
      </c>
      <c r="D64" s="777">
        <f t="shared" ref="D64:M64" si="25">(D67-D62)/5*2+D62</f>
        <v>7.0440000000000005</v>
      </c>
      <c r="E64" s="772">
        <f t="shared" si="25"/>
        <v>5.73</v>
      </c>
      <c r="F64" s="779">
        <f t="shared" si="25"/>
        <v>27.398</v>
      </c>
      <c r="G64" s="773">
        <f t="shared" si="25"/>
        <v>9.6880000000000006</v>
      </c>
      <c r="H64" s="777">
        <f t="shared" si="25"/>
        <v>19.225999999999999</v>
      </c>
      <c r="I64" s="772">
        <f t="shared" si="25"/>
        <v>18.093999999999998</v>
      </c>
      <c r="J64" s="778">
        <f t="shared" si="25"/>
        <v>29.355999999999998</v>
      </c>
      <c r="K64" s="775">
        <f t="shared" si="25"/>
        <v>22.641999999999999</v>
      </c>
      <c r="L64" s="777">
        <f t="shared" si="25"/>
        <v>34.344000000000001</v>
      </c>
      <c r="M64" s="776">
        <f t="shared" si="25"/>
        <v>30.928000000000001</v>
      </c>
      <c r="P64" s="768"/>
    </row>
    <row r="65" spans="1:16" ht="14.25" hidden="1" x14ac:dyDescent="0.2">
      <c r="A65" s="764">
        <v>3.3</v>
      </c>
      <c r="B65" s="769">
        <v>4.8239999999999998</v>
      </c>
      <c r="C65" s="770">
        <v>3.0760000000000001</v>
      </c>
      <c r="D65" s="777">
        <f t="shared" ref="D65:M65" si="26">(D67-D62)/5*3+D62</f>
        <v>7.3160000000000007</v>
      </c>
      <c r="E65" s="772">
        <f t="shared" si="26"/>
        <v>5.85</v>
      </c>
      <c r="F65" s="779">
        <f t="shared" si="26"/>
        <v>28.602</v>
      </c>
      <c r="G65" s="773">
        <f t="shared" si="26"/>
        <v>9.831999999999999</v>
      </c>
      <c r="H65" s="777">
        <f t="shared" si="26"/>
        <v>19.734000000000002</v>
      </c>
      <c r="I65" s="772">
        <f t="shared" si="26"/>
        <v>18.506</v>
      </c>
      <c r="J65" s="778">
        <f t="shared" si="26"/>
        <v>30.564</v>
      </c>
      <c r="K65" s="775">
        <f t="shared" si="26"/>
        <v>23.118000000000002</v>
      </c>
      <c r="L65" s="777">
        <f t="shared" si="26"/>
        <v>35.356000000000002</v>
      </c>
      <c r="M65" s="776">
        <f t="shared" si="26"/>
        <v>31.662000000000003</v>
      </c>
      <c r="P65" s="768"/>
    </row>
    <row r="66" spans="1:16" ht="14.25" hidden="1" x14ac:dyDescent="0.2">
      <c r="A66" s="764">
        <v>3.4</v>
      </c>
      <c r="B66" s="779">
        <v>5.0920000000000005</v>
      </c>
      <c r="C66" s="770">
        <v>3.1380000000000003</v>
      </c>
      <c r="D66" s="777">
        <f t="shared" ref="D66:M66" si="27">(D67-D62)/5*4+D62</f>
        <v>7.5880000000000001</v>
      </c>
      <c r="E66" s="772">
        <f t="shared" si="27"/>
        <v>5.97</v>
      </c>
      <c r="F66" s="779">
        <f t="shared" si="27"/>
        <v>29.806000000000001</v>
      </c>
      <c r="G66" s="773">
        <f t="shared" si="27"/>
        <v>9.9759999999999991</v>
      </c>
      <c r="H66" s="777">
        <f t="shared" si="27"/>
        <v>20.242000000000001</v>
      </c>
      <c r="I66" s="772">
        <f t="shared" si="27"/>
        <v>18.917999999999999</v>
      </c>
      <c r="J66" s="778">
        <f t="shared" si="27"/>
        <v>31.771999999999998</v>
      </c>
      <c r="K66" s="775">
        <f t="shared" si="27"/>
        <v>23.594000000000001</v>
      </c>
      <c r="L66" s="777">
        <f t="shared" si="27"/>
        <v>36.368000000000002</v>
      </c>
      <c r="M66" s="776">
        <f t="shared" si="27"/>
        <v>32.396000000000001</v>
      </c>
      <c r="P66" s="768"/>
    </row>
    <row r="67" spans="1:16" ht="14.25" hidden="1" x14ac:dyDescent="0.2">
      <c r="A67" s="764">
        <v>3.5</v>
      </c>
      <c r="B67" s="779">
        <v>5.36</v>
      </c>
      <c r="C67" s="770">
        <v>3.2</v>
      </c>
      <c r="D67" s="777">
        <v>7.86</v>
      </c>
      <c r="E67" s="772">
        <v>6.09</v>
      </c>
      <c r="F67" s="779">
        <v>31.01</v>
      </c>
      <c r="G67" s="773">
        <v>10.119999999999999</v>
      </c>
      <c r="H67" s="777">
        <v>20.75</v>
      </c>
      <c r="I67" s="772">
        <v>19.329999999999998</v>
      </c>
      <c r="J67" s="778">
        <v>32.979999999999997</v>
      </c>
      <c r="K67" s="775">
        <v>24.07</v>
      </c>
      <c r="L67" s="777">
        <v>37.380000000000003</v>
      </c>
      <c r="M67" s="776">
        <v>33.130000000000003</v>
      </c>
      <c r="P67" s="768"/>
    </row>
    <row r="68" spans="1:16" ht="14.25" hidden="1" x14ac:dyDescent="0.2">
      <c r="A68" s="764">
        <v>3.6</v>
      </c>
      <c r="B68" s="779">
        <v>5.6480000000000006</v>
      </c>
      <c r="C68" s="770">
        <v>3.258</v>
      </c>
      <c r="D68" s="777">
        <f t="shared" ref="D68:M68" si="28">(D72-D67)/5*1+D67</f>
        <v>8.2640000000000011</v>
      </c>
      <c r="E68" s="772">
        <f t="shared" si="28"/>
        <v>6.1719999999999997</v>
      </c>
      <c r="F68" s="779">
        <f t="shared" si="28"/>
        <v>31.166</v>
      </c>
      <c r="G68" s="773">
        <f t="shared" si="28"/>
        <v>10.196</v>
      </c>
      <c r="H68" s="777">
        <f t="shared" si="28"/>
        <v>21.202000000000002</v>
      </c>
      <c r="I68" s="772">
        <f t="shared" si="28"/>
        <v>19.663999999999998</v>
      </c>
      <c r="J68" s="778">
        <f t="shared" si="28"/>
        <v>34.373999999999995</v>
      </c>
      <c r="K68" s="775">
        <f t="shared" si="28"/>
        <v>24.456</v>
      </c>
      <c r="L68" s="777">
        <f t="shared" si="28"/>
        <v>38.444000000000003</v>
      </c>
      <c r="M68" s="776">
        <f t="shared" si="28"/>
        <v>33.768000000000001</v>
      </c>
      <c r="P68" s="768"/>
    </row>
    <row r="69" spans="1:16" ht="14.25" hidden="1" x14ac:dyDescent="0.2">
      <c r="A69" s="764">
        <v>3.7</v>
      </c>
      <c r="B69" s="779">
        <v>5.9359999999999999</v>
      </c>
      <c r="C69" s="770">
        <v>3.3160000000000003</v>
      </c>
      <c r="D69" s="777">
        <f t="shared" ref="D69:M69" si="29">(D72-D67)/5*2+D67</f>
        <v>8.668000000000001</v>
      </c>
      <c r="E69" s="772">
        <f t="shared" si="29"/>
        <v>6.2539999999999996</v>
      </c>
      <c r="F69" s="779">
        <f t="shared" si="29"/>
        <v>31.321999999999999</v>
      </c>
      <c r="G69" s="773">
        <f t="shared" si="29"/>
        <v>10.272</v>
      </c>
      <c r="H69" s="777">
        <f t="shared" si="29"/>
        <v>21.654</v>
      </c>
      <c r="I69" s="772">
        <f t="shared" si="29"/>
        <v>19.997999999999998</v>
      </c>
      <c r="J69" s="778">
        <f t="shared" si="29"/>
        <v>35.768000000000001</v>
      </c>
      <c r="K69" s="775">
        <f t="shared" si="29"/>
        <v>24.841999999999999</v>
      </c>
      <c r="L69" s="777">
        <f t="shared" si="29"/>
        <v>39.508000000000003</v>
      </c>
      <c r="M69" s="776">
        <f t="shared" si="29"/>
        <v>34.405999999999999</v>
      </c>
      <c r="P69" s="768"/>
    </row>
    <row r="70" spans="1:16" ht="14.25" hidden="1" x14ac:dyDescent="0.2">
      <c r="A70" s="764">
        <v>3.8</v>
      </c>
      <c r="B70" s="779">
        <v>6.2240000000000002</v>
      </c>
      <c r="C70" s="770">
        <v>3.3740000000000001</v>
      </c>
      <c r="D70" s="777">
        <f t="shared" ref="D70:M70" si="30">(D72-D67)/5*3+D67</f>
        <v>9.072000000000001</v>
      </c>
      <c r="E70" s="772">
        <f t="shared" si="30"/>
        <v>6.3360000000000003</v>
      </c>
      <c r="F70" s="779">
        <f t="shared" si="30"/>
        <v>31.478000000000002</v>
      </c>
      <c r="G70" s="773">
        <f t="shared" si="30"/>
        <v>10.347999999999999</v>
      </c>
      <c r="H70" s="777">
        <f t="shared" si="30"/>
        <v>22.106000000000002</v>
      </c>
      <c r="I70" s="772">
        <f t="shared" si="30"/>
        <v>20.332000000000001</v>
      </c>
      <c r="J70" s="778">
        <f t="shared" si="30"/>
        <v>37.161999999999999</v>
      </c>
      <c r="K70" s="775">
        <f t="shared" si="30"/>
        <v>25.228000000000002</v>
      </c>
      <c r="L70" s="777">
        <f t="shared" si="30"/>
        <v>40.572000000000003</v>
      </c>
      <c r="M70" s="776">
        <f t="shared" si="30"/>
        <v>35.044000000000004</v>
      </c>
      <c r="P70" s="768"/>
    </row>
    <row r="71" spans="1:16" ht="14.25" hidden="1" x14ac:dyDescent="0.2">
      <c r="A71" s="764">
        <v>3.9</v>
      </c>
      <c r="B71" s="779">
        <v>6.5120000000000005</v>
      </c>
      <c r="C71" s="770">
        <v>3.4320000000000004</v>
      </c>
      <c r="D71" s="777">
        <f t="shared" ref="D71:M71" si="31">(D72-D67)/5*4+D67</f>
        <v>9.4760000000000009</v>
      </c>
      <c r="E71" s="772">
        <f t="shared" si="31"/>
        <v>6.4180000000000001</v>
      </c>
      <c r="F71" s="779">
        <f t="shared" si="31"/>
        <v>31.634</v>
      </c>
      <c r="G71" s="773">
        <f t="shared" si="31"/>
        <v>10.423999999999999</v>
      </c>
      <c r="H71" s="777">
        <f t="shared" si="31"/>
        <v>22.558</v>
      </c>
      <c r="I71" s="772">
        <f t="shared" si="31"/>
        <v>20.666</v>
      </c>
      <c r="J71" s="778">
        <f t="shared" si="31"/>
        <v>38.556000000000004</v>
      </c>
      <c r="K71" s="775">
        <f t="shared" si="31"/>
        <v>25.614000000000001</v>
      </c>
      <c r="L71" s="777">
        <f t="shared" si="31"/>
        <v>41.636000000000003</v>
      </c>
      <c r="M71" s="776">
        <f t="shared" si="31"/>
        <v>35.682000000000002</v>
      </c>
      <c r="P71" s="768"/>
    </row>
    <row r="72" spans="1:16" ht="14.25" hidden="1" x14ac:dyDescent="0.2">
      <c r="A72" s="764">
        <v>4</v>
      </c>
      <c r="B72" s="779">
        <v>6.8</v>
      </c>
      <c r="C72" s="770">
        <v>3.49</v>
      </c>
      <c r="D72" s="777">
        <v>9.8800000000000008</v>
      </c>
      <c r="E72" s="772">
        <v>6.5</v>
      </c>
      <c r="F72" s="779">
        <v>31.79</v>
      </c>
      <c r="G72" s="773">
        <v>10.5</v>
      </c>
      <c r="H72" s="777">
        <v>23.01</v>
      </c>
      <c r="I72" s="772">
        <v>21</v>
      </c>
      <c r="J72" s="778">
        <v>39.950000000000003</v>
      </c>
      <c r="K72" s="775">
        <v>26</v>
      </c>
      <c r="L72" s="777">
        <v>42.7</v>
      </c>
      <c r="M72" s="776">
        <v>36.32</v>
      </c>
      <c r="P72" s="768"/>
    </row>
    <row r="73" spans="1:16" ht="14.25" hidden="1" x14ac:dyDescent="0.2">
      <c r="A73" s="764">
        <v>4.0999999999999996</v>
      </c>
      <c r="B73" s="765"/>
      <c r="C73" s="765"/>
      <c r="D73" s="780"/>
      <c r="E73" s="780"/>
      <c r="F73" s="781"/>
      <c r="G73" s="780"/>
      <c r="H73" s="781"/>
      <c r="I73" s="780"/>
      <c r="J73" s="765"/>
      <c r="K73" s="781"/>
      <c r="L73" s="777">
        <f t="shared" ref="L73:M73" si="32">(L77-L72)/5*1+L72</f>
        <v>44.1</v>
      </c>
      <c r="M73" s="776">
        <f t="shared" si="32"/>
        <v>37.055999999999997</v>
      </c>
      <c r="O73" s="768"/>
      <c r="P73" s="768"/>
    </row>
    <row r="74" spans="1:16" ht="14.25" hidden="1" x14ac:dyDescent="0.2">
      <c r="A74" s="764">
        <v>4.2</v>
      </c>
      <c r="B74" s="765"/>
      <c r="C74" s="765"/>
      <c r="D74" s="780"/>
      <c r="E74" s="780"/>
      <c r="F74" s="781"/>
      <c r="G74" s="780"/>
      <c r="H74" s="781"/>
      <c r="I74" s="780"/>
      <c r="J74" s="765"/>
      <c r="K74" s="781"/>
      <c r="L74" s="777">
        <f t="shared" ref="L74:M74" si="33">(L77-L72)/5*2+L72</f>
        <v>45.5</v>
      </c>
      <c r="M74" s="776">
        <f t="shared" si="33"/>
        <v>37.792000000000002</v>
      </c>
      <c r="O74" s="768"/>
      <c r="P74" s="768"/>
    </row>
    <row r="75" spans="1:16" ht="14.25" hidden="1" x14ac:dyDescent="0.2">
      <c r="A75" s="764">
        <v>4.3</v>
      </c>
      <c r="B75" s="765"/>
      <c r="C75" s="765"/>
      <c r="D75" s="780"/>
      <c r="E75" s="780"/>
      <c r="F75" s="781"/>
      <c r="G75" s="780"/>
      <c r="H75" s="781"/>
      <c r="I75" s="780"/>
      <c r="J75" s="765"/>
      <c r="K75" s="781"/>
      <c r="L75" s="777">
        <f t="shared" ref="L75:M75" si="34">(L77-L72)/5*3+L72</f>
        <v>46.900000000000006</v>
      </c>
      <c r="M75" s="776">
        <f t="shared" si="34"/>
        <v>38.527999999999999</v>
      </c>
      <c r="O75" s="768"/>
      <c r="P75" s="768"/>
    </row>
    <row r="76" spans="1:16" ht="14.25" hidden="1" x14ac:dyDescent="0.2">
      <c r="A76" s="764">
        <v>4.4000000000000004</v>
      </c>
      <c r="B76" s="765"/>
      <c r="C76" s="765"/>
      <c r="D76" s="780"/>
      <c r="E76" s="780"/>
      <c r="F76" s="781"/>
      <c r="G76" s="780"/>
      <c r="H76" s="781"/>
      <c r="I76" s="780"/>
      <c r="J76" s="765"/>
      <c r="K76" s="781"/>
      <c r="L76" s="777">
        <f t="shared" ref="L76:M76" si="35">(L77-L72)/5*4+L72</f>
        <v>48.300000000000004</v>
      </c>
      <c r="M76" s="776">
        <f t="shared" si="35"/>
        <v>39.264000000000003</v>
      </c>
      <c r="O76" s="768"/>
      <c r="P76" s="768"/>
    </row>
    <row r="77" spans="1:16" ht="15" hidden="1" thickBot="1" x14ac:dyDescent="0.25">
      <c r="A77" s="782">
        <v>4.5</v>
      </c>
      <c r="B77" s="783"/>
      <c r="C77" s="783"/>
      <c r="D77" s="784"/>
      <c r="E77" s="784"/>
      <c r="F77" s="785"/>
      <c r="G77" s="784"/>
      <c r="H77" s="785"/>
      <c r="I77" s="784"/>
      <c r="J77" s="783"/>
      <c r="K77" s="785"/>
      <c r="L77" s="786">
        <v>49.7</v>
      </c>
      <c r="M77" s="787">
        <v>40</v>
      </c>
      <c r="O77" s="768"/>
      <c r="P77" s="768"/>
    </row>
    <row r="78" spans="1:16" x14ac:dyDescent="0.2">
      <c r="A78" s="788"/>
    </row>
  </sheetData>
  <sheetProtection sheet="1" objects="1" scenarios="1" selectLockedCells="1"/>
  <mergeCells count="22">
    <mergeCell ref="F30:G30"/>
    <mergeCell ref="H30:I30"/>
    <mergeCell ref="J30:K30"/>
    <mergeCell ref="L30:M30"/>
    <mergeCell ref="B26:C26"/>
    <mergeCell ref="D26:E26"/>
    <mergeCell ref="B27:C27"/>
    <mergeCell ref="D27:E27"/>
    <mergeCell ref="B30:C30"/>
    <mergeCell ref="D30:E30"/>
    <mergeCell ref="B23:C23"/>
    <mergeCell ref="D23:E23"/>
    <mergeCell ref="B24:C24"/>
    <mergeCell ref="D24:E24"/>
    <mergeCell ref="B25:C25"/>
    <mergeCell ref="D25:E25"/>
    <mergeCell ref="A1:I1"/>
    <mergeCell ref="A2:I2"/>
    <mergeCell ref="B21:C21"/>
    <mergeCell ref="D21:E21"/>
    <mergeCell ref="B22:C22"/>
    <mergeCell ref="D22:E22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91975-97D2-48C2-A7DB-1877A11E8BA2}">
  <dimension ref="A1:M269"/>
  <sheetViews>
    <sheetView workbookViewId="0">
      <selection activeCell="C5" sqref="C5"/>
    </sheetView>
  </sheetViews>
  <sheetFormatPr defaultColWidth="11.42578125" defaultRowHeight="12.75" x14ac:dyDescent="0.2"/>
  <cols>
    <col min="1" max="1" width="12.7109375" style="482" customWidth="1"/>
    <col min="2" max="2" width="14.28515625" style="482" bestFit="1" customWidth="1"/>
    <col min="3" max="4" width="12.7109375" style="762" customWidth="1"/>
    <col min="5" max="13" width="12.7109375" style="482" customWidth="1"/>
    <col min="14" max="15" width="11.42578125" style="482"/>
    <col min="16" max="16" width="12.5703125" style="482" bestFit="1" customWidth="1"/>
    <col min="17" max="16384" width="11.42578125" style="482"/>
  </cols>
  <sheetData>
    <row r="1" spans="1:9" ht="21" thickTop="1" x14ac:dyDescent="0.3">
      <c r="A1" s="932" t="s">
        <v>851</v>
      </c>
      <c r="B1" s="933"/>
      <c r="C1" s="933"/>
      <c r="D1" s="933"/>
      <c r="E1" s="933"/>
      <c r="F1" s="933"/>
      <c r="G1" s="933"/>
      <c r="H1" s="933"/>
      <c r="I1" s="934"/>
    </row>
    <row r="2" spans="1:9" ht="21" thickBot="1" x14ac:dyDescent="0.35">
      <c r="A2" s="1076" t="s">
        <v>803</v>
      </c>
      <c r="B2" s="1077"/>
      <c r="C2" s="1077"/>
      <c r="D2" s="1077"/>
      <c r="E2" s="1077"/>
      <c r="F2" s="1077"/>
      <c r="G2" s="1077"/>
      <c r="H2" s="1077"/>
      <c r="I2" s="1078"/>
    </row>
    <row r="3" spans="1:9" ht="20.25" x14ac:dyDescent="0.3">
      <c r="A3" s="615"/>
      <c r="B3" s="616"/>
      <c r="C3" s="616"/>
      <c r="D3" s="616"/>
      <c r="E3" s="616"/>
      <c r="F3" s="616"/>
      <c r="G3" s="616"/>
      <c r="H3" s="616"/>
      <c r="I3" s="617"/>
    </row>
    <row r="4" spans="1:9" x14ac:dyDescent="0.2">
      <c r="A4" s="747"/>
      <c r="B4" s="748"/>
      <c r="C4" s="737" t="s">
        <v>25</v>
      </c>
      <c r="D4" s="749"/>
      <c r="E4" s="748"/>
      <c r="F4" s="748"/>
      <c r="G4" s="748"/>
      <c r="H4" s="748"/>
      <c r="I4" s="750"/>
    </row>
    <row r="5" spans="1:9" x14ac:dyDescent="0.2">
      <c r="A5" s="751"/>
      <c r="B5" s="754" t="s">
        <v>804</v>
      </c>
      <c r="C5" s="491">
        <v>10</v>
      </c>
      <c r="D5" s="753" t="s">
        <v>777</v>
      </c>
      <c r="E5" s="748"/>
      <c r="F5" s="748"/>
      <c r="G5" s="748"/>
      <c r="H5" s="748"/>
      <c r="I5" s="750"/>
    </row>
    <row r="6" spans="1:9" x14ac:dyDescent="0.2">
      <c r="A6" s="751"/>
      <c r="B6" s="754" t="s">
        <v>806</v>
      </c>
      <c r="C6" s="491">
        <v>8</v>
      </c>
      <c r="D6" s="749"/>
      <c r="E6" s="748"/>
      <c r="G6" s="748"/>
      <c r="H6" s="748"/>
      <c r="I6" s="750"/>
    </row>
    <row r="7" spans="1:9" x14ac:dyDescent="0.2">
      <c r="A7" s="751"/>
      <c r="B7" s="748"/>
      <c r="C7" s="755"/>
      <c r="D7" s="756"/>
      <c r="E7" s="748"/>
      <c r="F7" s="748"/>
      <c r="G7" s="748"/>
      <c r="H7" s="748"/>
      <c r="I7" s="750"/>
    </row>
    <row r="8" spans="1:9" x14ac:dyDescent="0.2">
      <c r="A8" s="751"/>
      <c r="C8" s="755"/>
      <c r="D8" s="748"/>
      <c r="E8" s="748"/>
      <c r="F8" s="748"/>
      <c r="G8" s="748"/>
      <c r="H8" s="748"/>
      <c r="I8" s="750"/>
    </row>
    <row r="9" spans="1:9" x14ac:dyDescent="0.2">
      <c r="A9" s="751"/>
      <c r="B9" s="748"/>
      <c r="C9" s="755"/>
      <c r="D9" s="756"/>
      <c r="E9" s="748"/>
      <c r="F9" s="748"/>
      <c r="G9" s="748"/>
      <c r="H9" s="748"/>
      <c r="I9" s="750"/>
    </row>
    <row r="10" spans="1:9" x14ac:dyDescent="0.2">
      <c r="A10" s="751"/>
      <c r="B10" s="748"/>
      <c r="C10" s="755"/>
      <c r="D10" s="756"/>
      <c r="E10" s="748"/>
      <c r="F10" s="748"/>
      <c r="G10" s="748"/>
      <c r="H10" s="748"/>
      <c r="I10" s="750"/>
    </row>
    <row r="11" spans="1:9" x14ac:dyDescent="0.2">
      <c r="A11" s="751"/>
      <c r="B11" s="748"/>
      <c r="C11" s="755"/>
      <c r="D11" s="756"/>
      <c r="E11" s="748"/>
      <c r="F11" s="748"/>
      <c r="G11" s="748"/>
      <c r="H11" s="748"/>
      <c r="I11" s="750"/>
    </row>
    <row r="12" spans="1:9" x14ac:dyDescent="0.2">
      <c r="A12" s="751"/>
      <c r="B12" s="748"/>
      <c r="C12" s="755"/>
      <c r="D12" s="756"/>
      <c r="E12" s="748"/>
      <c r="F12" s="748"/>
      <c r="G12" s="748"/>
      <c r="H12" s="748"/>
      <c r="I12" s="750"/>
    </row>
    <row r="13" spans="1:9" x14ac:dyDescent="0.2">
      <c r="A13" s="751"/>
      <c r="B13" s="748"/>
      <c r="C13" s="755"/>
      <c r="D13" s="756"/>
      <c r="E13" s="748"/>
      <c r="F13" s="748"/>
      <c r="G13" s="748"/>
      <c r="H13" s="748"/>
      <c r="I13" s="750"/>
    </row>
    <row r="14" spans="1:9" x14ac:dyDescent="0.2">
      <c r="A14" s="751"/>
      <c r="B14" s="748"/>
      <c r="C14" s="755"/>
      <c r="D14" s="756"/>
      <c r="E14" s="748"/>
      <c r="F14" s="748"/>
      <c r="G14" s="748"/>
      <c r="H14" s="748"/>
      <c r="I14" s="750"/>
    </row>
    <row r="15" spans="1:9" x14ac:dyDescent="0.2">
      <c r="A15" s="751"/>
      <c r="B15" s="748"/>
      <c r="C15" s="755"/>
      <c r="D15" s="756"/>
      <c r="E15" s="748"/>
      <c r="F15" s="748"/>
      <c r="G15" s="748"/>
      <c r="H15" s="748"/>
      <c r="I15" s="750"/>
    </row>
    <row r="16" spans="1:9" x14ac:dyDescent="0.2">
      <c r="A16" s="751"/>
      <c r="B16" s="748"/>
      <c r="C16" s="755"/>
      <c r="D16" s="756"/>
      <c r="E16" s="748"/>
      <c r="F16" s="748"/>
      <c r="G16" s="748"/>
      <c r="H16" s="748"/>
      <c r="I16" s="750"/>
    </row>
    <row r="17" spans="1:9" x14ac:dyDescent="0.2">
      <c r="A17" s="751"/>
      <c r="B17" s="748"/>
      <c r="C17" s="749"/>
      <c r="D17" s="749"/>
      <c r="E17" s="748"/>
      <c r="F17" s="748"/>
      <c r="G17" s="748"/>
      <c r="H17" s="748"/>
      <c r="I17" s="750"/>
    </row>
    <row r="18" spans="1:9" x14ac:dyDescent="0.2">
      <c r="A18" s="751"/>
      <c r="B18" s="748"/>
      <c r="C18" s="749"/>
      <c r="D18" s="749"/>
      <c r="E18" s="748"/>
      <c r="F18" s="748"/>
      <c r="G18" s="748"/>
      <c r="H18" s="748"/>
      <c r="I18" s="750"/>
    </row>
    <row r="19" spans="1:9" x14ac:dyDescent="0.2">
      <c r="A19" s="747"/>
      <c r="B19" s="748"/>
      <c r="C19" s="749"/>
      <c r="D19" s="749"/>
      <c r="E19" s="756"/>
      <c r="F19" s="748"/>
      <c r="G19" s="748"/>
      <c r="H19" s="748"/>
      <c r="I19" s="750"/>
    </row>
    <row r="20" spans="1:9" ht="13.5" thickBot="1" x14ac:dyDescent="0.25">
      <c r="A20" s="747"/>
      <c r="B20" s="748"/>
      <c r="C20" s="749"/>
      <c r="D20" s="749"/>
      <c r="E20" s="748"/>
      <c r="F20" s="748"/>
      <c r="G20" s="748"/>
      <c r="H20" s="748"/>
      <c r="I20" s="750"/>
    </row>
    <row r="21" spans="1:9" ht="38.25" customHeight="1" thickTop="1" x14ac:dyDescent="0.2">
      <c r="A21" s="505" t="s">
        <v>371</v>
      </c>
      <c r="B21" s="1136" t="s">
        <v>779</v>
      </c>
      <c r="C21" s="1136"/>
      <c r="D21" s="1137" t="s">
        <v>852</v>
      </c>
      <c r="E21" s="1138"/>
      <c r="F21" s="756"/>
      <c r="G21" s="748"/>
      <c r="H21" s="756"/>
      <c r="I21" s="750"/>
    </row>
    <row r="22" spans="1:9" x14ac:dyDescent="0.2">
      <c r="A22" s="757">
        <v>65</v>
      </c>
      <c r="B22" s="1139">
        <f>B117</f>
        <v>64.113897434377165</v>
      </c>
      <c r="C22" s="1139"/>
      <c r="D22" s="1140">
        <f>IF($C$6&lt;0,"NOT POSSIBLE",IF($C$6&gt;8,"NOT POSSIBLE",((VLOOKUP($C$6,$A$36:$M$227,2)))*(($C$5/100)^0.5)*1))</f>
        <v>20.274594556305768</v>
      </c>
      <c r="E22" s="1141"/>
      <c r="F22" s="756"/>
      <c r="G22" s="748"/>
      <c r="H22" s="756"/>
      <c r="I22" s="750"/>
    </row>
    <row r="23" spans="1:9" x14ac:dyDescent="0.2">
      <c r="A23" s="758">
        <v>80</v>
      </c>
      <c r="B23" s="1142">
        <f>C117</f>
        <v>85.408095192785296</v>
      </c>
      <c r="C23" s="1142"/>
      <c r="D23" s="1140">
        <f>IF($C$6&lt;0,"NOT POSSIBLE",IF($C$6&gt;8,"NOT POSSIBLE",((VLOOKUP($C$6,$A$36:$M$227,3)))*(($C$5/100)^0.5)*1))</f>
        <v>27.00841114256793</v>
      </c>
      <c r="E23" s="1141"/>
      <c r="F23" s="756"/>
      <c r="G23" s="748"/>
      <c r="H23" s="756"/>
      <c r="I23" s="750"/>
    </row>
    <row r="24" spans="1:9" x14ac:dyDescent="0.2">
      <c r="A24" s="757">
        <v>100</v>
      </c>
      <c r="B24" s="1151">
        <f>D117</f>
        <v>119.27415535846687</v>
      </c>
      <c r="C24" s="1151"/>
      <c r="D24" s="1140">
        <f>IF($C$6&lt;0,"NOT POSSIBLE",IF($C$6&gt;8,"NOT POSSIBLE",((VLOOKUP($C$6,$A$36:$M$227,4)))*(($C$5/100)^0.5)*1))</f>
        <v>37.717799692553236</v>
      </c>
      <c r="E24" s="1141"/>
      <c r="F24" s="756"/>
      <c r="G24" s="748"/>
      <c r="H24" s="756"/>
      <c r="I24" s="750"/>
    </row>
    <row r="25" spans="1:9" x14ac:dyDescent="0.2">
      <c r="A25" s="758">
        <v>125</v>
      </c>
      <c r="B25" s="1152">
        <f>E117</f>
        <v>202.50457524202375</v>
      </c>
      <c r="C25" s="1152"/>
      <c r="D25" s="1140">
        <f>IF($C$6&lt;0,"NOT POSSIBLE",IF($C$6&gt;8,"NOT POSSIBLE",((VLOOKUP($C$6,$A$36:$M$227,5)))*(($C$5/100)^0.5)*1))</f>
        <v>64.03756943697384</v>
      </c>
      <c r="E25" s="1141"/>
      <c r="F25" s="756"/>
      <c r="G25" s="748"/>
      <c r="H25" s="756"/>
      <c r="I25" s="750"/>
    </row>
    <row r="26" spans="1:9" x14ac:dyDescent="0.2">
      <c r="A26" s="757">
        <v>150</v>
      </c>
      <c r="B26" s="1151">
        <f>F117</f>
        <v>263.12657075569695</v>
      </c>
      <c r="C26" s="1151"/>
      <c r="D26" s="1140">
        <f>IF($C$6&lt;0,"NOT POSSIBLE",IF($C$6&gt;8,"NOT POSSIBLE",((VLOOKUP($C$6,$A$36:$M$227,6)))*(($C$5/100)^0.5)*1))</f>
        <v>83.207927649745486</v>
      </c>
      <c r="E26" s="1141"/>
      <c r="F26" s="756"/>
      <c r="G26" s="748"/>
      <c r="H26" s="756"/>
      <c r="I26" s="750"/>
    </row>
    <row r="27" spans="1:9" x14ac:dyDescent="0.2">
      <c r="A27" s="758">
        <v>200</v>
      </c>
      <c r="B27" s="1152">
        <f>G157</f>
        <v>504.3867097814661</v>
      </c>
      <c r="C27" s="1152"/>
      <c r="D27" s="1140">
        <f>IF($C$6&lt;0,"NOT POSSIBLE",IF($C$6&gt;12,"NOT POSSIBLE",((VLOOKUP($C$6,$A$36:$M$227,7)))*(($C$5/100)^0.5)*1))</f>
        <v>115.28335461899916</v>
      </c>
      <c r="E27" s="1141"/>
      <c r="F27" s="756"/>
      <c r="G27" s="748"/>
      <c r="H27" s="756"/>
      <c r="I27" s="750"/>
    </row>
    <row r="28" spans="1:9" x14ac:dyDescent="0.2">
      <c r="A28" s="757">
        <v>250</v>
      </c>
      <c r="B28" s="1151">
        <f>H197</f>
        <v>911.72795767795969</v>
      </c>
      <c r="C28" s="1151"/>
      <c r="D28" s="1140">
        <f>IF($C$6&lt;0,"NOT POSSIBLE",IF($C$6&gt;16,"NOT POSSIBLE",((VLOOKUP($C$6,$A$36:$M$227,8)))*(($C$5/100)^0.5)*1))</f>
        <v>155.98238145607399</v>
      </c>
      <c r="E28" s="1141"/>
      <c r="F28" s="756"/>
      <c r="G28" s="748"/>
      <c r="H28" s="756"/>
      <c r="I28" s="750"/>
    </row>
    <row r="29" spans="1:9" x14ac:dyDescent="0.2">
      <c r="A29" s="758">
        <v>300</v>
      </c>
      <c r="B29" s="1152">
        <f>I197</f>
        <v>1098.7791681559133</v>
      </c>
      <c r="C29" s="1152"/>
      <c r="D29" s="1140">
        <f>IF($C$6&lt;0,"NOT POSSIBLE",IF($C$6&gt;16,"NOT POSSIBLE",((VLOOKUP($C$6,$A$36:$M$227,9)))*(($C$5/100)^0.5)*1))</f>
        <v>202.42607321420667</v>
      </c>
      <c r="E29" s="1141"/>
      <c r="F29" s="756"/>
      <c r="G29" s="748"/>
      <c r="H29" s="756"/>
      <c r="I29" s="750"/>
    </row>
    <row r="30" spans="1:9" x14ac:dyDescent="0.2">
      <c r="A30" s="757">
        <v>350</v>
      </c>
      <c r="B30" s="1151">
        <f>J227</f>
        <v>2084.8232539296837</v>
      </c>
      <c r="C30" s="1151"/>
      <c r="D30" s="1140">
        <f>IF($C$6&lt;0,"NOT POSSIBLE",IF($C$6&gt;19,"NOT POSSIBLE",((VLOOKUP($C$6,$A$36:$M$227,10)))*(($C$5/100)^0.5)*1))</f>
        <v>301.65364591677536</v>
      </c>
      <c r="E30" s="1141"/>
      <c r="F30" s="756"/>
      <c r="G30" s="748"/>
      <c r="H30" s="756"/>
      <c r="I30" s="750"/>
    </row>
    <row r="31" spans="1:9" x14ac:dyDescent="0.2">
      <c r="A31" s="758">
        <v>400</v>
      </c>
      <c r="B31" s="1152">
        <f>K227</f>
        <v>2189.1541812903401</v>
      </c>
      <c r="C31" s="1152"/>
      <c r="D31" s="1140">
        <f>IF($C$6&lt;0,"NOT POSSIBLE",IF($C$6&gt;19,"NOT POSSIBLE",((VLOOKUP($C$6,$A$36:$M$227,11)))*(($C$5/100)^0.5)*1))</f>
        <v>341.46562355044347</v>
      </c>
      <c r="E31" s="1141"/>
      <c r="F31" s="756"/>
      <c r="G31" s="748"/>
      <c r="H31" s="756"/>
      <c r="I31" s="750"/>
    </row>
    <row r="32" spans="1:9" x14ac:dyDescent="0.2">
      <c r="A32" s="757">
        <v>450</v>
      </c>
      <c r="B32" s="1151">
        <f>L227</f>
        <v>2526.3015316718047</v>
      </c>
      <c r="C32" s="1151"/>
      <c r="D32" s="1140">
        <f>IF($C$6&lt;0,"NOT POSSIBLE",IF($C$6&gt;19,"NOT POSSIBLE",((VLOOKUP($C$6,$A$36:$M$227,12)))*(($C$5/100)^0.5)*1))</f>
        <v>404.3430042271703</v>
      </c>
      <c r="E32" s="1141"/>
      <c r="F32" s="756"/>
      <c r="G32" s="748"/>
      <c r="H32" s="756"/>
      <c r="I32" s="750"/>
    </row>
    <row r="33" spans="1:13" ht="13.5" thickBot="1" x14ac:dyDescent="0.25">
      <c r="A33" s="759">
        <v>500</v>
      </c>
      <c r="B33" s="1153">
        <f>M227</f>
        <v>3381.0932791884889</v>
      </c>
      <c r="C33" s="1153"/>
      <c r="D33" s="1149">
        <f>IF($C$6&lt;0,"NOT POSSIBLE",IF($C$6&gt;19,"NOT POSSIBLE",((VLOOKUP($C$6,$A$36:$M$227,13)))*(($C$5/100)^0.5)*1))</f>
        <v>508.83098430417226</v>
      </c>
      <c r="E33" s="1150"/>
      <c r="F33" s="789"/>
      <c r="G33" s="760"/>
      <c r="H33" s="789"/>
      <c r="I33" s="761"/>
    </row>
    <row r="34" spans="1:13" ht="13.5" thickTop="1" x14ac:dyDescent="0.2">
      <c r="A34" s="762"/>
      <c r="B34" s="762"/>
      <c r="D34" s="484"/>
      <c r="E34" s="484"/>
      <c r="F34" s="484"/>
    </row>
    <row r="35" spans="1:13" hidden="1" x14ac:dyDescent="0.2">
      <c r="B35" s="790" t="s">
        <v>756</v>
      </c>
      <c r="C35" s="791" t="s">
        <v>757</v>
      </c>
      <c r="D35" s="792" t="s">
        <v>758</v>
      </c>
      <c r="E35" s="791" t="s">
        <v>759</v>
      </c>
      <c r="F35" s="790" t="s">
        <v>760</v>
      </c>
      <c r="G35" s="791" t="s">
        <v>761</v>
      </c>
      <c r="H35" s="790" t="s">
        <v>762</v>
      </c>
      <c r="I35" s="791" t="s">
        <v>763</v>
      </c>
      <c r="J35" s="790" t="s">
        <v>764</v>
      </c>
      <c r="K35" s="791" t="s">
        <v>765</v>
      </c>
      <c r="L35" s="790" t="s">
        <v>766</v>
      </c>
      <c r="M35" s="791" t="s">
        <v>767</v>
      </c>
    </row>
    <row r="36" spans="1:13" hidden="1" x14ac:dyDescent="0.2">
      <c r="A36" s="793" t="s">
        <v>755</v>
      </c>
      <c r="B36" s="794" t="s">
        <v>768</v>
      </c>
      <c r="C36" s="795" t="s">
        <v>768</v>
      </c>
      <c r="D36" s="796" t="s">
        <v>768</v>
      </c>
      <c r="E36" s="795" t="s">
        <v>768</v>
      </c>
      <c r="F36" s="796" t="s">
        <v>768</v>
      </c>
      <c r="G36" s="795" t="s">
        <v>768</v>
      </c>
      <c r="H36" s="796" t="s">
        <v>768</v>
      </c>
      <c r="I36" s="795" t="s">
        <v>768</v>
      </c>
      <c r="J36" s="796" t="s">
        <v>768</v>
      </c>
      <c r="K36" s="795" t="s">
        <v>768</v>
      </c>
      <c r="L36" s="796" t="s">
        <v>768</v>
      </c>
      <c r="M36" s="795" t="s">
        <v>768</v>
      </c>
    </row>
    <row r="37" spans="1:13" hidden="1" x14ac:dyDescent="0.2">
      <c r="A37" s="793">
        <v>0</v>
      </c>
      <c r="B37" s="797">
        <v>0</v>
      </c>
      <c r="C37" s="798">
        <v>0</v>
      </c>
      <c r="D37" s="797">
        <v>0</v>
      </c>
      <c r="E37" s="798">
        <v>0</v>
      </c>
      <c r="F37" s="797">
        <v>0</v>
      </c>
      <c r="G37" s="798">
        <v>0</v>
      </c>
      <c r="H37" s="797">
        <v>0</v>
      </c>
      <c r="I37" s="798">
        <v>0</v>
      </c>
      <c r="J37" s="797">
        <v>0</v>
      </c>
      <c r="K37" s="798">
        <v>0</v>
      </c>
      <c r="L37" s="797">
        <v>0</v>
      </c>
      <c r="M37" s="798">
        <v>0</v>
      </c>
    </row>
    <row r="38" spans="1:13" hidden="1" x14ac:dyDescent="0.2">
      <c r="A38" s="793">
        <v>0.1</v>
      </c>
      <c r="B38" s="797">
        <v>1.6812710236877038</v>
      </c>
      <c r="C38" s="798">
        <f t="shared" ref="C38:I38" si="0">(C47-C37)/10*1+C37</f>
        <v>1.682710010282122</v>
      </c>
      <c r="D38" s="797">
        <f t="shared" si="0"/>
        <v>2.5112925362845924</v>
      </c>
      <c r="E38" s="798">
        <f t="shared" si="0"/>
        <v>3.9673403299609342</v>
      </c>
      <c r="F38" s="797">
        <f t="shared" si="0"/>
        <v>7.7205659059375948</v>
      </c>
      <c r="G38" s="798">
        <f t="shared" si="0"/>
        <v>13.406829684674056</v>
      </c>
      <c r="H38" s="797">
        <f t="shared" si="0"/>
        <v>10.430191291096607</v>
      </c>
      <c r="I38" s="798">
        <f t="shared" si="0"/>
        <v>12.960123781159064</v>
      </c>
      <c r="J38" s="797">
        <f>(J47-J37)/10*1+J37</f>
        <v>16.899071525688534</v>
      </c>
      <c r="K38" s="798">
        <f>(K47-K37)/10*1+K37</f>
        <v>23.240399918633194</v>
      </c>
      <c r="L38" s="797">
        <f>(L47-L37)/10*1+L37</f>
        <v>25.453626361333242</v>
      </c>
      <c r="M38" s="798">
        <f>(M47-M37)/10*1+M37</f>
        <v>32.157766276148379</v>
      </c>
    </row>
    <row r="39" spans="1:13" hidden="1" x14ac:dyDescent="0.2">
      <c r="A39" s="793">
        <v>0.2</v>
      </c>
      <c r="B39" s="797">
        <v>3.3625420473754075</v>
      </c>
      <c r="C39" s="798">
        <f t="shared" ref="C39:I39" si="1">(C47-C37)/10*2+C37</f>
        <v>3.3654200205642439</v>
      </c>
      <c r="D39" s="797">
        <f t="shared" si="1"/>
        <v>5.0225850725691847</v>
      </c>
      <c r="E39" s="798">
        <f t="shared" si="1"/>
        <v>7.9346806599218684</v>
      </c>
      <c r="F39" s="797">
        <f t="shared" si="1"/>
        <v>15.44113181187519</v>
      </c>
      <c r="G39" s="798">
        <f t="shared" si="1"/>
        <v>26.813659369348112</v>
      </c>
      <c r="H39" s="797">
        <f t="shared" si="1"/>
        <v>20.860382582193214</v>
      </c>
      <c r="I39" s="798">
        <f t="shared" si="1"/>
        <v>25.920247562318128</v>
      </c>
      <c r="J39" s="797">
        <f>(J47-J37)/10*2+J37</f>
        <v>33.798143051377068</v>
      </c>
      <c r="K39" s="798">
        <f>(K47-K37)/10*2+K37</f>
        <v>46.480799837266389</v>
      </c>
      <c r="L39" s="797">
        <f>(L47-L37)/10*2+L37</f>
        <v>50.907252722666485</v>
      </c>
      <c r="M39" s="798">
        <f>(M47-M37)/10*2+M37</f>
        <v>64.315532552296759</v>
      </c>
    </row>
    <row r="40" spans="1:13" hidden="1" x14ac:dyDescent="0.2">
      <c r="A40" s="793">
        <v>0.3</v>
      </c>
      <c r="B40" s="797">
        <v>5.0438130710631111</v>
      </c>
      <c r="C40" s="798">
        <f t="shared" ref="C40:I40" si="2">(C47-C37)/10*3+C37</f>
        <v>5.0481300308463659</v>
      </c>
      <c r="D40" s="797">
        <f t="shared" si="2"/>
        <v>7.5338776088537767</v>
      </c>
      <c r="E40" s="798">
        <f t="shared" si="2"/>
        <v>11.902020989882804</v>
      </c>
      <c r="F40" s="797">
        <f t="shared" si="2"/>
        <v>23.161697717812785</v>
      </c>
      <c r="G40" s="798">
        <f t="shared" si="2"/>
        <v>40.220489054022167</v>
      </c>
      <c r="H40" s="797">
        <f t="shared" si="2"/>
        <v>31.290573873289823</v>
      </c>
      <c r="I40" s="798">
        <f t="shared" si="2"/>
        <v>38.880371343477194</v>
      </c>
      <c r="J40" s="797">
        <f>(J47-J37)/10*3+J37</f>
        <v>50.697214577065601</v>
      </c>
      <c r="K40" s="798">
        <f>(K47-K37)/10*3+K37</f>
        <v>69.72119975589959</v>
      </c>
      <c r="L40" s="797">
        <f>(L47-L37)/10*3+L37</f>
        <v>76.36087908399972</v>
      </c>
      <c r="M40" s="798">
        <f>(M47-M37)/10*3+M37</f>
        <v>96.473298828445138</v>
      </c>
    </row>
    <row r="41" spans="1:13" hidden="1" x14ac:dyDescent="0.2">
      <c r="A41" s="793">
        <v>0.4</v>
      </c>
      <c r="B41" s="797">
        <v>6.725084094750815</v>
      </c>
      <c r="C41" s="798">
        <f t="shared" ref="C41:I41" si="3">(C47-C37)/10*4+C37</f>
        <v>6.7308400411284879</v>
      </c>
      <c r="D41" s="797">
        <f t="shared" si="3"/>
        <v>10.045170145138369</v>
      </c>
      <c r="E41" s="798">
        <f t="shared" si="3"/>
        <v>15.869361319843737</v>
      </c>
      <c r="F41" s="797">
        <f t="shared" si="3"/>
        <v>30.882263623750379</v>
      </c>
      <c r="G41" s="798">
        <f t="shared" si="3"/>
        <v>53.627318738696225</v>
      </c>
      <c r="H41" s="797">
        <f t="shared" si="3"/>
        <v>41.720765164386428</v>
      </c>
      <c r="I41" s="798">
        <f t="shared" si="3"/>
        <v>51.840495124636256</v>
      </c>
      <c r="J41" s="797">
        <f>(J47-J37)/10*4+J37</f>
        <v>67.596286102754135</v>
      </c>
      <c r="K41" s="798">
        <f>(K47-K37)/10*4+K37</f>
        <v>92.961599674532778</v>
      </c>
      <c r="L41" s="797">
        <f>(L47-L37)/10*4+L37</f>
        <v>101.81450544533297</v>
      </c>
      <c r="M41" s="798">
        <f>(M47-M37)/10*4+M37</f>
        <v>128.63106510459352</v>
      </c>
    </row>
    <row r="42" spans="1:13" hidden="1" x14ac:dyDescent="0.2">
      <c r="A42" s="793">
        <v>0.5</v>
      </c>
      <c r="B42" s="797">
        <v>8.406355118438519</v>
      </c>
      <c r="C42" s="798">
        <f t="shared" ref="C42:I42" si="4">(C47-C37)/10*5+C37</f>
        <v>8.4135500514106099</v>
      </c>
      <c r="D42" s="797">
        <f t="shared" si="4"/>
        <v>12.556462681422962</v>
      </c>
      <c r="E42" s="798">
        <f t="shared" si="4"/>
        <v>19.83670164980467</v>
      </c>
      <c r="F42" s="797">
        <f t="shared" si="4"/>
        <v>38.602829529687973</v>
      </c>
      <c r="G42" s="798">
        <f t="shared" si="4"/>
        <v>67.034148423370283</v>
      </c>
      <c r="H42" s="797">
        <f t="shared" si="4"/>
        <v>52.150956455483033</v>
      </c>
      <c r="I42" s="798">
        <f t="shared" si="4"/>
        <v>64.800618905795318</v>
      </c>
      <c r="J42" s="797">
        <f>(J47-J37)/10*5+J37</f>
        <v>84.495357628442662</v>
      </c>
      <c r="K42" s="798">
        <f>(K47-K37)/10*5+K37</f>
        <v>116.20199959316597</v>
      </c>
      <c r="L42" s="797">
        <f>(L47-L37)/10*5+L37</f>
        <v>127.26813180666622</v>
      </c>
      <c r="M42" s="798">
        <f>(M47-M37)/10*5+M37</f>
        <v>160.7888313807419</v>
      </c>
    </row>
    <row r="43" spans="1:13" hidden="1" x14ac:dyDescent="0.2">
      <c r="A43" s="793">
        <v>0.6</v>
      </c>
      <c r="B43" s="797">
        <v>10.087626142126222</v>
      </c>
      <c r="C43" s="798">
        <f t="shared" ref="C43:I43" si="5">(C47-C37)/10*6+C37</f>
        <v>10.096260061692732</v>
      </c>
      <c r="D43" s="797">
        <f t="shared" si="5"/>
        <v>15.067755217707553</v>
      </c>
      <c r="E43" s="798">
        <f t="shared" si="5"/>
        <v>23.804041979765607</v>
      </c>
      <c r="F43" s="797">
        <f t="shared" si="5"/>
        <v>46.323395435625571</v>
      </c>
      <c r="G43" s="798">
        <f t="shared" si="5"/>
        <v>80.440978108044334</v>
      </c>
      <c r="H43" s="797">
        <f t="shared" si="5"/>
        <v>62.581147746579646</v>
      </c>
      <c r="I43" s="798">
        <f t="shared" si="5"/>
        <v>77.760742686954387</v>
      </c>
      <c r="J43" s="797">
        <f>(J47-J37)/10*6+J37</f>
        <v>101.3944291541312</v>
      </c>
      <c r="K43" s="798">
        <f>(K47-K37)/10*6+K37</f>
        <v>139.44239951179918</v>
      </c>
      <c r="L43" s="797">
        <f>(L47-L37)/10*6+L37</f>
        <v>152.72175816799944</v>
      </c>
      <c r="M43" s="798">
        <f>(M47-M37)/10*6+M37</f>
        <v>192.94659765689028</v>
      </c>
    </row>
    <row r="44" spans="1:13" hidden="1" x14ac:dyDescent="0.2">
      <c r="A44" s="793">
        <v>0.7</v>
      </c>
      <c r="B44" s="797">
        <v>11.768897165813927</v>
      </c>
      <c r="C44" s="798">
        <f t="shared" ref="C44:F44" si="6">(C47-C37)/10*7+C37</f>
        <v>11.778970071974854</v>
      </c>
      <c r="D44" s="797">
        <f t="shared" si="6"/>
        <v>17.579047753992146</v>
      </c>
      <c r="E44" s="798">
        <f t="shared" si="6"/>
        <v>27.77138230972654</v>
      </c>
      <c r="F44" s="797">
        <f t="shared" si="6"/>
        <v>54.043961341563161</v>
      </c>
      <c r="G44" s="798">
        <f>(G47-G37)/10*7+G37</f>
        <v>93.847807792718399</v>
      </c>
      <c r="H44" s="797">
        <f t="shared" ref="H44:I44" si="7">(H47-H37)/10*7+H37</f>
        <v>73.011339037676251</v>
      </c>
      <c r="I44" s="798">
        <f t="shared" si="7"/>
        <v>90.720866468113442</v>
      </c>
      <c r="J44" s="797">
        <f>(J47-J37)/10*7+J37</f>
        <v>118.29350067981974</v>
      </c>
      <c r="K44" s="798">
        <f>(K47-K37)/10*7+K37</f>
        <v>162.68279943043237</v>
      </c>
      <c r="L44" s="797">
        <f>(L47-L37)/10*7+L37</f>
        <v>178.17538452933269</v>
      </c>
      <c r="M44" s="798">
        <f>(M47-M37)/10*7+M37</f>
        <v>225.10436393303866</v>
      </c>
    </row>
    <row r="45" spans="1:13" hidden="1" x14ac:dyDescent="0.2">
      <c r="A45" s="793">
        <v>0.8</v>
      </c>
      <c r="B45" s="797">
        <v>13.45016818950163</v>
      </c>
      <c r="C45" s="798">
        <f t="shared" ref="C45:I45" si="8">(C47-C37)/10*8+C37</f>
        <v>13.461680082256976</v>
      </c>
      <c r="D45" s="797">
        <f t="shared" si="8"/>
        <v>20.090340290276739</v>
      </c>
      <c r="E45" s="798">
        <f t="shared" si="8"/>
        <v>31.738722639687474</v>
      </c>
      <c r="F45" s="797">
        <f t="shared" si="8"/>
        <v>61.764527247500759</v>
      </c>
      <c r="G45" s="798">
        <f t="shared" si="8"/>
        <v>107.25463747739245</v>
      </c>
      <c r="H45" s="797">
        <f t="shared" si="8"/>
        <v>83.441530328772856</v>
      </c>
      <c r="I45" s="798">
        <f t="shared" si="8"/>
        <v>103.68099024927251</v>
      </c>
      <c r="J45" s="797">
        <f>(J47-J37)/10*8+J37</f>
        <v>135.19257220550827</v>
      </c>
      <c r="K45" s="798">
        <f>(K47-K37)/10*8+K37</f>
        <v>185.92319934906556</v>
      </c>
      <c r="L45" s="797">
        <f>(L47-L37)/10*8+L37</f>
        <v>203.62901089066594</v>
      </c>
      <c r="M45" s="798">
        <f>(M47-M37)/10*8+M37</f>
        <v>257.26213020918703</v>
      </c>
    </row>
    <row r="46" spans="1:13" hidden="1" x14ac:dyDescent="0.2">
      <c r="A46" s="793">
        <v>0.9</v>
      </c>
      <c r="B46" s="797">
        <v>15.131439213189333</v>
      </c>
      <c r="C46" s="798">
        <f t="shared" ref="C46:I46" si="9">(C47-C37)/10*9+C37</f>
        <v>15.144390092539098</v>
      </c>
      <c r="D46" s="797">
        <f t="shared" si="9"/>
        <v>22.601632826561332</v>
      </c>
      <c r="E46" s="798">
        <f t="shared" si="9"/>
        <v>35.706062969648407</v>
      </c>
      <c r="F46" s="797">
        <f t="shared" si="9"/>
        <v>69.485093153438356</v>
      </c>
      <c r="G46" s="798">
        <f t="shared" si="9"/>
        <v>120.6614671620665</v>
      </c>
      <c r="H46" s="797">
        <f t="shared" si="9"/>
        <v>93.871721619869462</v>
      </c>
      <c r="I46" s="798">
        <f t="shared" si="9"/>
        <v>116.64111403043158</v>
      </c>
      <c r="J46" s="797">
        <f>(J47-J37)/10*9+J37</f>
        <v>152.0916437311968</v>
      </c>
      <c r="K46" s="798">
        <f>(K47-K37)/10*9+K37</f>
        <v>209.16359926769874</v>
      </c>
      <c r="L46" s="797">
        <f>(L47-L37)/10*9+L37</f>
        <v>229.08263725199919</v>
      </c>
      <c r="M46" s="798">
        <f>(M47-M37)/10*9+M37</f>
        <v>289.41989648533541</v>
      </c>
    </row>
    <row r="47" spans="1:13" hidden="1" x14ac:dyDescent="0.2">
      <c r="A47" s="793">
        <v>1</v>
      </c>
      <c r="B47" s="797">
        <v>16.812710236877038</v>
      </c>
      <c r="C47" s="798">
        <v>16.82710010282122</v>
      </c>
      <c r="D47" s="797">
        <v>25.112925362845925</v>
      </c>
      <c r="E47" s="798">
        <v>39.67340329960934</v>
      </c>
      <c r="F47" s="797">
        <v>77.205659059375947</v>
      </c>
      <c r="G47" s="798">
        <v>134.06829684674057</v>
      </c>
      <c r="H47" s="797">
        <v>104.30191291096607</v>
      </c>
      <c r="I47" s="798">
        <v>129.60123781159064</v>
      </c>
      <c r="J47" s="797">
        <v>168.99071525688535</v>
      </c>
      <c r="K47" s="798">
        <v>232.40399918633193</v>
      </c>
      <c r="L47" s="797">
        <v>254.53626361333244</v>
      </c>
      <c r="M47" s="798">
        <v>321.57766276148379</v>
      </c>
    </row>
    <row r="48" spans="1:13" hidden="1" x14ac:dyDescent="0.2">
      <c r="A48" s="793">
        <v>1.1000000000000001</v>
      </c>
      <c r="B48" s="797">
        <v>17.650516983796461</v>
      </c>
      <c r="C48" s="798">
        <f t="shared" ref="C48:I48" si="10">(C57-C47)/10*1+C47</f>
        <v>18.3265536132816</v>
      </c>
      <c r="D48" s="797">
        <f t="shared" si="10"/>
        <v>26.991378013144093</v>
      </c>
      <c r="E48" s="798">
        <f t="shared" si="10"/>
        <v>42.479301586268825</v>
      </c>
      <c r="F48" s="797">
        <f t="shared" si="10"/>
        <v>81.119595799523154</v>
      </c>
      <c r="G48" s="798">
        <f t="shared" si="10"/>
        <v>138.80573026049052</v>
      </c>
      <c r="H48" s="797">
        <f t="shared" si="10"/>
        <v>109.40933830289586</v>
      </c>
      <c r="I48" s="798">
        <f t="shared" si="10"/>
        <v>138.33360446259397</v>
      </c>
      <c r="J48" s="797">
        <f>(J57-J47)/10*1+J47</f>
        <v>181.89494603821541</v>
      </c>
      <c r="K48" s="798">
        <f>(K57-K47)/10*1+K47</f>
        <v>247.53871798920323</v>
      </c>
      <c r="L48" s="797">
        <f>(L57-L47)/10*1+L47</f>
        <v>269.2989202128702</v>
      </c>
      <c r="M48" s="798">
        <f>(M57-M47)/10*1+M47</f>
        <v>345.9495368534138</v>
      </c>
    </row>
    <row r="49" spans="1:13" hidden="1" x14ac:dyDescent="0.2">
      <c r="A49" s="793">
        <v>1.2</v>
      </c>
      <c r="B49" s="797">
        <v>18.488323730715884</v>
      </c>
      <c r="C49" s="798">
        <f t="shared" ref="C49:I49" si="11">(C57-C47)/10*2+C47</f>
        <v>19.826007123741981</v>
      </c>
      <c r="D49" s="797">
        <f t="shared" si="11"/>
        <v>28.869830663442265</v>
      </c>
      <c r="E49" s="798">
        <f t="shared" si="11"/>
        <v>45.28519987292831</v>
      </c>
      <c r="F49" s="797">
        <f t="shared" si="11"/>
        <v>85.033532539670347</v>
      </c>
      <c r="G49" s="798">
        <f t="shared" si="11"/>
        <v>143.5431636742405</v>
      </c>
      <c r="H49" s="797">
        <f t="shared" si="11"/>
        <v>114.51676369482566</v>
      </c>
      <c r="I49" s="798">
        <f t="shared" si="11"/>
        <v>147.06597111359727</v>
      </c>
      <c r="J49" s="797">
        <f>(J57-J47)/10*2+J47</f>
        <v>194.79917681954547</v>
      </c>
      <c r="K49" s="798">
        <f>(K57-K47)/10*2+K47</f>
        <v>262.67343679207454</v>
      </c>
      <c r="L49" s="797">
        <f>(L57-L47)/10*2+L47</f>
        <v>284.06157681240791</v>
      </c>
      <c r="M49" s="798">
        <f>(M57-M47)/10*2+M47</f>
        <v>370.32141094534381</v>
      </c>
    </row>
    <row r="50" spans="1:13" hidden="1" x14ac:dyDescent="0.2">
      <c r="A50" s="793">
        <v>1.3</v>
      </c>
      <c r="B50" s="797">
        <v>19.32613047763531</v>
      </c>
      <c r="C50" s="798">
        <f t="shared" ref="C50:I50" si="12">(C57-C47)/10*3+C47</f>
        <v>21.325460634202365</v>
      </c>
      <c r="D50" s="797">
        <f t="shared" si="12"/>
        <v>30.748283313740437</v>
      </c>
      <c r="E50" s="798">
        <f t="shared" si="12"/>
        <v>48.091098159587787</v>
      </c>
      <c r="F50" s="797">
        <f t="shared" si="12"/>
        <v>88.947469279817554</v>
      </c>
      <c r="G50" s="798">
        <f t="shared" si="12"/>
        <v>148.28059708799046</v>
      </c>
      <c r="H50" s="797">
        <f t="shared" si="12"/>
        <v>119.62418908675545</v>
      </c>
      <c r="I50" s="798">
        <f t="shared" si="12"/>
        <v>155.7983377646006</v>
      </c>
      <c r="J50" s="797">
        <f>(J57-J47)/10*3+J47</f>
        <v>207.70340760087555</v>
      </c>
      <c r="K50" s="798">
        <f>(K57-K47)/10*3+K47</f>
        <v>277.80815559494584</v>
      </c>
      <c r="L50" s="797">
        <f>(L57-L47)/10*3+L47</f>
        <v>298.82423341194567</v>
      </c>
      <c r="M50" s="798">
        <f>(M57-M47)/10*3+M47</f>
        <v>394.69328503727388</v>
      </c>
    </row>
    <row r="51" spans="1:13" hidden="1" x14ac:dyDescent="0.2">
      <c r="A51" s="793">
        <v>1.4</v>
      </c>
      <c r="B51" s="797">
        <v>20.163937224554733</v>
      </c>
      <c r="C51" s="798">
        <f t="shared" ref="C51:I51" si="13">(C57-C47)/10*4+C47</f>
        <v>22.824914144662742</v>
      </c>
      <c r="D51" s="797">
        <f t="shared" si="13"/>
        <v>32.626735964038602</v>
      </c>
      <c r="E51" s="798">
        <f t="shared" si="13"/>
        <v>50.896996446247272</v>
      </c>
      <c r="F51" s="797">
        <f t="shared" si="13"/>
        <v>92.861406019964761</v>
      </c>
      <c r="G51" s="798">
        <f t="shared" si="13"/>
        <v>153.01803050174044</v>
      </c>
      <c r="H51" s="797">
        <f t="shared" si="13"/>
        <v>124.73161447868526</v>
      </c>
      <c r="I51" s="798">
        <f t="shared" si="13"/>
        <v>164.53070441560391</v>
      </c>
      <c r="J51" s="797">
        <f>(J57-J47)/10*4+J47</f>
        <v>220.60763838220561</v>
      </c>
      <c r="K51" s="798">
        <f>(K57-K47)/10*4+K47</f>
        <v>292.94287439781715</v>
      </c>
      <c r="L51" s="797">
        <f>(L57-L47)/10*4+L47</f>
        <v>313.58689001148343</v>
      </c>
      <c r="M51" s="798">
        <f>(M57-M47)/10*4+M47</f>
        <v>419.06515912920389</v>
      </c>
    </row>
    <row r="52" spans="1:13" hidden="1" x14ac:dyDescent="0.2">
      <c r="A52" s="793">
        <v>1.5</v>
      </c>
      <c r="B52" s="797">
        <v>21.001743971474156</v>
      </c>
      <c r="C52" s="798">
        <f t="shared" ref="C52:I52" si="14">(C57-C47)/10*5+C47</f>
        <v>24.324367655123126</v>
      </c>
      <c r="D52" s="797">
        <f t="shared" si="14"/>
        <v>34.505188614336774</v>
      </c>
      <c r="E52" s="798">
        <f t="shared" si="14"/>
        <v>53.702894732906756</v>
      </c>
      <c r="F52" s="797">
        <f t="shared" si="14"/>
        <v>96.775342760111954</v>
      </c>
      <c r="G52" s="798">
        <f t="shared" si="14"/>
        <v>157.7554639154904</v>
      </c>
      <c r="H52" s="797">
        <f t="shared" si="14"/>
        <v>129.83903987061504</v>
      </c>
      <c r="I52" s="798">
        <f t="shared" si="14"/>
        <v>173.26307106660724</v>
      </c>
      <c r="J52" s="797">
        <f>(J57-J47)/10*5+J47</f>
        <v>233.51186916353566</v>
      </c>
      <c r="K52" s="798">
        <f>(K57-K47)/10*5+K47</f>
        <v>308.0775932006884</v>
      </c>
      <c r="L52" s="797">
        <f>(L57-L47)/10*5+L47</f>
        <v>328.3495466110212</v>
      </c>
      <c r="M52" s="798">
        <f>(M57-M47)/10*5+M47</f>
        <v>443.4370332211339</v>
      </c>
    </row>
    <row r="53" spans="1:13" hidden="1" x14ac:dyDescent="0.2">
      <c r="A53" s="793">
        <v>1.6</v>
      </c>
      <c r="B53" s="797">
        <v>21.839550718393578</v>
      </c>
      <c r="C53" s="798">
        <f t="shared" ref="C53:I53" si="15">(C57-C47)/10*6+C47</f>
        <v>25.823821165583507</v>
      </c>
      <c r="D53" s="797">
        <f t="shared" si="15"/>
        <v>36.383641264634946</v>
      </c>
      <c r="E53" s="798">
        <f t="shared" si="15"/>
        <v>56.508793019566241</v>
      </c>
      <c r="F53" s="797">
        <f t="shared" si="15"/>
        <v>100.68927950025916</v>
      </c>
      <c r="G53" s="798">
        <f t="shared" si="15"/>
        <v>162.49289732924035</v>
      </c>
      <c r="H53" s="797">
        <f t="shared" si="15"/>
        <v>134.94646526254485</v>
      </c>
      <c r="I53" s="798">
        <f t="shared" si="15"/>
        <v>181.99543771761057</v>
      </c>
      <c r="J53" s="797">
        <f>(J57-J47)/10*6+J47</f>
        <v>246.41609994486572</v>
      </c>
      <c r="K53" s="798">
        <f>(K57-K47)/10*6+K47</f>
        <v>323.21231200355976</v>
      </c>
      <c r="L53" s="797">
        <f>(L57-L47)/10*6+L47</f>
        <v>343.1122032105589</v>
      </c>
      <c r="M53" s="798">
        <f>(M57-M47)/10*6+M47</f>
        <v>467.80890731306391</v>
      </c>
    </row>
    <row r="54" spans="1:13" hidden="1" x14ac:dyDescent="0.2">
      <c r="A54" s="793">
        <v>1.7</v>
      </c>
      <c r="B54" s="797">
        <v>22.677357465313001</v>
      </c>
      <c r="C54" s="798">
        <f t="shared" ref="C54:I54" si="16">(C57-C47)/10*7+C47</f>
        <v>27.323274676043887</v>
      </c>
      <c r="D54" s="797">
        <f t="shared" si="16"/>
        <v>38.262093914933118</v>
      </c>
      <c r="E54" s="798">
        <f t="shared" si="16"/>
        <v>59.314691306225725</v>
      </c>
      <c r="F54" s="797">
        <f t="shared" si="16"/>
        <v>104.60321624040637</v>
      </c>
      <c r="G54" s="798">
        <f t="shared" si="16"/>
        <v>167.23033074299033</v>
      </c>
      <c r="H54" s="797">
        <f t="shared" si="16"/>
        <v>140.05389065447463</v>
      </c>
      <c r="I54" s="798">
        <f t="shared" si="16"/>
        <v>190.72780436861387</v>
      </c>
      <c r="J54" s="797">
        <f>(J57-J47)/10*7+J47</f>
        <v>259.32033072619578</v>
      </c>
      <c r="K54" s="798">
        <f>(K57-K47)/10*7+K47</f>
        <v>338.34703080643101</v>
      </c>
      <c r="L54" s="797">
        <f>(L57-L47)/10*7+L47</f>
        <v>357.87485981009667</v>
      </c>
      <c r="M54" s="798">
        <f>(M57-M47)/10*7+M47</f>
        <v>492.18078140499392</v>
      </c>
    </row>
    <row r="55" spans="1:13" hidden="1" x14ac:dyDescent="0.2">
      <c r="A55" s="793">
        <v>1.8</v>
      </c>
      <c r="B55" s="797">
        <v>23.515164212232428</v>
      </c>
      <c r="C55" s="798">
        <f t="shared" ref="C55:I55" si="17">(C57-C47)/10*8+C47</f>
        <v>28.822728186504268</v>
      </c>
      <c r="D55" s="797">
        <f t="shared" si="17"/>
        <v>40.14054656523129</v>
      </c>
      <c r="E55" s="798">
        <f t="shared" si="17"/>
        <v>62.12058959288521</v>
      </c>
      <c r="F55" s="797">
        <f t="shared" si="17"/>
        <v>108.51715298055356</v>
      </c>
      <c r="G55" s="798">
        <f t="shared" si="17"/>
        <v>171.96776415674029</v>
      </c>
      <c r="H55" s="797">
        <f t="shared" si="17"/>
        <v>145.16131604640444</v>
      </c>
      <c r="I55" s="798">
        <f t="shared" si="17"/>
        <v>199.46017101961721</v>
      </c>
      <c r="J55" s="797">
        <f>(J57-J47)/10*8+J47</f>
        <v>272.22456150752583</v>
      </c>
      <c r="K55" s="798">
        <f>(K57-K47)/10*8+K47</f>
        <v>353.48174960930231</v>
      </c>
      <c r="L55" s="797">
        <f>(L57-L47)/10*8+L47</f>
        <v>372.63751640963437</v>
      </c>
      <c r="M55" s="798">
        <f>(M57-M47)/10*8+M47</f>
        <v>516.55265549692399</v>
      </c>
    </row>
    <row r="56" spans="1:13" hidden="1" x14ac:dyDescent="0.2">
      <c r="A56" s="793">
        <v>1.9</v>
      </c>
      <c r="B56" s="797">
        <v>24.35297095915185</v>
      </c>
      <c r="C56" s="798">
        <f t="shared" ref="C56:I56" si="18">(C57-C47)/10*9+C47</f>
        <v>30.322181696964648</v>
      </c>
      <c r="D56" s="797">
        <f t="shared" si="18"/>
        <v>42.018999215529462</v>
      </c>
      <c r="E56" s="798">
        <f t="shared" si="18"/>
        <v>64.926487879544695</v>
      </c>
      <c r="F56" s="797">
        <f t="shared" si="18"/>
        <v>112.43108972070077</v>
      </c>
      <c r="G56" s="798">
        <f t="shared" si="18"/>
        <v>176.70519757049027</v>
      </c>
      <c r="H56" s="797">
        <f t="shared" si="18"/>
        <v>150.26874143833425</v>
      </c>
      <c r="I56" s="798">
        <f t="shared" si="18"/>
        <v>208.19253767062054</v>
      </c>
      <c r="J56" s="797">
        <f>(J57-J47)/10*9+J47</f>
        <v>285.12879228885589</v>
      </c>
      <c r="K56" s="798">
        <f>(K57-K47)/10*9+K47</f>
        <v>368.61646841217362</v>
      </c>
      <c r="L56" s="797">
        <f>(L57-L47)/10*9+L47</f>
        <v>387.40017300917214</v>
      </c>
      <c r="M56" s="798">
        <f>(M57-M47)/10*9+M47</f>
        <v>540.92452958885394</v>
      </c>
    </row>
    <row r="57" spans="1:13" hidden="1" x14ac:dyDescent="0.2">
      <c r="A57" s="793">
        <v>2</v>
      </c>
      <c r="B57" s="797">
        <v>25.190777706071273</v>
      </c>
      <c r="C57" s="798">
        <v>31.821635207425029</v>
      </c>
      <c r="D57" s="797">
        <v>43.897451865827627</v>
      </c>
      <c r="E57" s="798">
        <v>67.732386166204179</v>
      </c>
      <c r="F57" s="797">
        <v>116.34502646084798</v>
      </c>
      <c r="G57" s="798">
        <v>181.44263098424022</v>
      </c>
      <c r="H57" s="797">
        <v>155.37616683026403</v>
      </c>
      <c r="I57" s="798">
        <v>216.92490432162384</v>
      </c>
      <c r="J57" s="797">
        <v>298.03302307018595</v>
      </c>
      <c r="K57" s="798">
        <v>383.75118721504492</v>
      </c>
      <c r="L57" s="797">
        <v>402.1628296087099</v>
      </c>
      <c r="M57" s="798">
        <v>565.29640368078401</v>
      </c>
    </row>
    <row r="58" spans="1:13" hidden="1" x14ac:dyDescent="0.2">
      <c r="A58" s="793">
        <v>2.1</v>
      </c>
      <c r="B58" s="797">
        <v>25.980242731406637</v>
      </c>
      <c r="C58" s="798">
        <f t="shared" ref="C58:I58" si="19">(C67-C57)/10*1+C57</f>
        <v>32.697102706578477</v>
      </c>
      <c r="D58" s="797">
        <f t="shared" si="19"/>
        <v>45.459781114252571</v>
      </c>
      <c r="E58" s="798">
        <f t="shared" si="19"/>
        <v>70.283388251744498</v>
      </c>
      <c r="F58" s="797">
        <f t="shared" si="19"/>
        <v>119.44084201288307</v>
      </c>
      <c r="G58" s="798">
        <f t="shared" si="19"/>
        <v>185.22603571026167</v>
      </c>
      <c r="H58" s="797">
        <f t="shared" si="19"/>
        <v>163.07730937435164</v>
      </c>
      <c r="I58" s="798">
        <f t="shared" si="19"/>
        <v>224.78879881173742</v>
      </c>
      <c r="J58" s="797">
        <f>(J67-J57)/10*1+J57</f>
        <v>311.50892205361674</v>
      </c>
      <c r="K58" s="798">
        <f>(K67-K57)/10*1+K57</f>
        <v>398.09931319723097</v>
      </c>
      <c r="L58" s="797">
        <f>(L67-L57)/10*1+L57</f>
        <v>418.46508828657625</v>
      </c>
      <c r="M58" s="798">
        <f>(M67-M57)/10*1+M57</f>
        <v>587.15202644775286</v>
      </c>
    </row>
    <row r="59" spans="1:13" hidden="1" x14ac:dyDescent="0.2">
      <c r="A59" s="793">
        <v>2.2000000000000002</v>
      </c>
      <c r="B59" s="797">
        <v>26.769707756742005</v>
      </c>
      <c r="C59" s="798">
        <f t="shared" ref="C59:I59" si="20">(C67-C57)/10*2+C57</f>
        <v>33.572570205731928</v>
      </c>
      <c r="D59" s="797">
        <f t="shared" si="20"/>
        <v>47.022110362677509</v>
      </c>
      <c r="E59" s="798">
        <f t="shared" si="20"/>
        <v>72.834390337284816</v>
      </c>
      <c r="F59" s="797">
        <f t="shared" si="20"/>
        <v>122.53665756491817</v>
      </c>
      <c r="G59" s="798">
        <f t="shared" si="20"/>
        <v>189.00944043628311</v>
      </c>
      <c r="H59" s="797">
        <f t="shared" si="20"/>
        <v>170.77845191843923</v>
      </c>
      <c r="I59" s="798">
        <f t="shared" si="20"/>
        <v>232.652693301851</v>
      </c>
      <c r="J59" s="797">
        <f>(J67-J57)/10*2+J57</f>
        <v>324.9848210370476</v>
      </c>
      <c r="K59" s="798">
        <f>(K67-K57)/10*2+K57</f>
        <v>412.44743917941702</v>
      </c>
      <c r="L59" s="797">
        <f>(L67-L57)/10*2+L57</f>
        <v>434.76734696444259</v>
      </c>
      <c r="M59" s="798">
        <f>(M67-M57)/10*2+M57</f>
        <v>609.00764921472182</v>
      </c>
    </row>
    <row r="60" spans="1:13" hidden="1" x14ac:dyDescent="0.2">
      <c r="A60" s="793">
        <v>2.2999999999999998</v>
      </c>
      <c r="B60" s="797">
        <v>27.559172782077368</v>
      </c>
      <c r="C60" s="798">
        <f t="shared" ref="C60:I60" si="21">(C67-C57)/10*3+C57</f>
        <v>34.44803770488538</v>
      </c>
      <c r="D60" s="797">
        <f t="shared" si="21"/>
        <v>48.584439611102454</v>
      </c>
      <c r="E60" s="798">
        <f t="shared" si="21"/>
        <v>75.385392422825149</v>
      </c>
      <c r="F60" s="797">
        <f t="shared" si="21"/>
        <v>125.63247311695326</v>
      </c>
      <c r="G60" s="798">
        <f t="shared" si="21"/>
        <v>192.79284516230459</v>
      </c>
      <c r="H60" s="797">
        <f t="shared" si="21"/>
        <v>178.47959446252685</v>
      </c>
      <c r="I60" s="798">
        <f t="shared" si="21"/>
        <v>240.51658779196458</v>
      </c>
      <c r="J60" s="797">
        <f>(J67-J57)/10*3+J57</f>
        <v>338.46072002047845</v>
      </c>
      <c r="K60" s="798">
        <f>(K67-K57)/10*3+K57</f>
        <v>426.79556516160307</v>
      </c>
      <c r="L60" s="797">
        <f>(L67-L57)/10*3+L57</f>
        <v>451.06960564230894</v>
      </c>
      <c r="M60" s="798">
        <f>(M67-M57)/10*3+M57</f>
        <v>630.86327198169079</v>
      </c>
    </row>
    <row r="61" spans="1:13" hidden="1" x14ac:dyDescent="0.2">
      <c r="A61" s="793">
        <v>2.4</v>
      </c>
      <c r="B61" s="797">
        <v>28.348637807412736</v>
      </c>
      <c r="C61" s="798">
        <f t="shared" ref="C61:I61" si="22">(C67-C57)/10*4+C57</f>
        <v>35.323505204038824</v>
      </c>
      <c r="D61" s="797">
        <f t="shared" si="22"/>
        <v>50.146768859527398</v>
      </c>
      <c r="E61" s="798">
        <f t="shared" si="22"/>
        <v>77.936394508365467</v>
      </c>
      <c r="F61" s="797">
        <f t="shared" si="22"/>
        <v>128.72828866898837</v>
      </c>
      <c r="G61" s="798">
        <f t="shared" si="22"/>
        <v>196.57624988832603</v>
      </c>
      <c r="H61" s="797">
        <f t="shared" si="22"/>
        <v>186.18073700661444</v>
      </c>
      <c r="I61" s="798">
        <f t="shared" si="22"/>
        <v>248.38048228207819</v>
      </c>
      <c r="J61" s="797">
        <f>(J67-J57)/10*4+J57</f>
        <v>351.93661900390924</v>
      </c>
      <c r="K61" s="798">
        <f>(K67-K57)/10*4+K57</f>
        <v>441.14369114378911</v>
      </c>
      <c r="L61" s="797">
        <f>(L67-L57)/10*4+L57</f>
        <v>467.37186432017529</v>
      </c>
      <c r="M61" s="798">
        <f>(M67-M57)/10*4+M57</f>
        <v>652.71889474865964</v>
      </c>
    </row>
    <row r="62" spans="1:13" hidden="1" x14ac:dyDescent="0.2">
      <c r="A62" s="793">
        <v>2.5</v>
      </c>
      <c r="B62" s="797">
        <v>29.1381028327481</v>
      </c>
      <c r="C62" s="798">
        <f t="shared" ref="C62:I62" si="23">(C67-C57)/10*5+C57</f>
        <v>36.198972703192275</v>
      </c>
      <c r="D62" s="797">
        <f t="shared" si="23"/>
        <v>51.709098107952343</v>
      </c>
      <c r="E62" s="798">
        <f t="shared" si="23"/>
        <v>80.487396593905785</v>
      </c>
      <c r="F62" s="797">
        <f t="shared" si="23"/>
        <v>131.82410422102345</v>
      </c>
      <c r="G62" s="798">
        <f t="shared" si="23"/>
        <v>200.35965461434748</v>
      </c>
      <c r="H62" s="797">
        <f t="shared" si="23"/>
        <v>193.88187955070205</v>
      </c>
      <c r="I62" s="798">
        <f t="shared" si="23"/>
        <v>256.2443767721918</v>
      </c>
      <c r="J62" s="797">
        <f>(J67-J57)/10*5+J57</f>
        <v>365.41251798734004</v>
      </c>
      <c r="K62" s="798">
        <f>(K67-K57)/10*5+K57</f>
        <v>455.4918171259751</v>
      </c>
      <c r="L62" s="797">
        <f>(L67-L57)/10*5+L57</f>
        <v>483.67412299804164</v>
      </c>
      <c r="M62" s="798">
        <f>(M67-M57)/10*5+M57</f>
        <v>674.57451751562849</v>
      </c>
    </row>
    <row r="63" spans="1:13" hidden="1" x14ac:dyDescent="0.2">
      <c r="A63" s="793">
        <v>2.6</v>
      </c>
      <c r="B63" s="797">
        <v>29.927567858083464</v>
      </c>
      <c r="C63" s="798">
        <f t="shared" ref="C63:I63" si="24">(C67-C57)/10*6+C57</f>
        <v>37.074440202345727</v>
      </c>
      <c r="D63" s="797">
        <f t="shared" si="24"/>
        <v>53.271427356377281</v>
      </c>
      <c r="E63" s="798">
        <f t="shared" si="24"/>
        <v>83.038398679446104</v>
      </c>
      <c r="F63" s="797">
        <f t="shared" si="24"/>
        <v>134.91991977305855</v>
      </c>
      <c r="G63" s="798">
        <f t="shared" si="24"/>
        <v>204.14305934036892</v>
      </c>
      <c r="H63" s="797">
        <f t="shared" si="24"/>
        <v>201.58302209478967</v>
      </c>
      <c r="I63" s="798">
        <f t="shared" si="24"/>
        <v>264.10827126230538</v>
      </c>
      <c r="J63" s="797">
        <f>(J67-J57)/10*6+J57</f>
        <v>378.88841697077089</v>
      </c>
      <c r="K63" s="798">
        <f>(K67-K57)/10*6+K57</f>
        <v>469.83994310816115</v>
      </c>
      <c r="L63" s="797">
        <f>(L67-L57)/10*6+L57</f>
        <v>499.97638167590799</v>
      </c>
      <c r="M63" s="798">
        <f>(M67-M57)/10*6+M57</f>
        <v>696.43014028259745</v>
      </c>
    </row>
    <row r="64" spans="1:13" hidden="1" x14ac:dyDescent="0.2">
      <c r="A64" s="793">
        <v>2.7</v>
      </c>
      <c r="B64" s="797">
        <v>30.717032883418831</v>
      </c>
      <c r="C64" s="798">
        <f t="shared" ref="C64:I64" si="25">(C67-C57)/10*7+C57</f>
        <v>37.949907701499171</v>
      </c>
      <c r="D64" s="797">
        <f t="shared" si="25"/>
        <v>54.833756604802225</v>
      </c>
      <c r="E64" s="798">
        <f t="shared" si="25"/>
        <v>85.589400764986422</v>
      </c>
      <c r="F64" s="797">
        <f t="shared" si="25"/>
        <v>138.01573532509366</v>
      </c>
      <c r="G64" s="798">
        <f t="shared" si="25"/>
        <v>207.92646406639037</v>
      </c>
      <c r="H64" s="797">
        <f t="shared" si="25"/>
        <v>209.28416463887726</v>
      </c>
      <c r="I64" s="798">
        <f t="shared" si="25"/>
        <v>271.97216575241896</v>
      </c>
      <c r="J64" s="797">
        <f>(J67-J57)/10*7+J57</f>
        <v>392.36431595420174</v>
      </c>
      <c r="K64" s="798">
        <f>(K67-K57)/10*7+K57</f>
        <v>484.1880690903472</v>
      </c>
      <c r="L64" s="797">
        <f>(L67-L57)/10*7+L57</f>
        <v>516.27864035377434</v>
      </c>
      <c r="M64" s="798">
        <f>(M67-M57)/10*7+M57</f>
        <v>718.28576304956641</v>
      </c>
    </row>
    <row r="65" spans="1:13" hidden="1" x14ac:dyDescent="0.2">
      <c r="A65" s="793">
        <v>2.8</v>
      </c>
      <c r="B65" s="797">
        <v>31.506497908754195</v>
      </c>
      <c r="C65" s="798">
        <f t="shared" ref="C65:I65" si="26">(C67-C57)/10*8+C57</f>
        <v>38.825375200652623</v>
      </c>
      <c r="D65" s="797">
        <f t="shared" si="26"/>
        <v>56.396085853227163</v>
      </c>
      <c r="E65" s="798">
        <f t="shared" si="26"/>
        <v>88.140402850526755</v>
      </c>
      <c r="F65" s="797">
        <f t="shared" si="26"/>
        <v>141.11155087712876</v>
      </c>
      <c r="G65" s="798">
        <f t="shared" si="26"/>
        <v>211.70986879241184</v>
      </c>
      <c r="H65" s="797">
        <f t="shared" si="26"/>
        <v>216.98530718296487</v>
      </c>
      <c r="I65" s="798">
        <f t="shared" si="26"/>
        <v>279.83606024253254</v>
      </c>
      <c r="J65" s="797">
        <f>(J67-J57)/10*8+J57</f>
        <v>405.84021493763254</v>
      </c>
      <c r="K65" s="798">
        <f>(K67-K57)/10*8+K57</f>
        <v>498.53619507253325</v>
      </c>
      <c r="L65" s="797">
        <f>(L67-L57)/10*8+L57</f>
        <v>532.58089903164068</v>
      </c>
      <c r="M65" s="798">
        <f>(M67-M57)/10*8+M57</f>
        <v>740.14138581653526</v>
      </c>
    </row>
    <row r="66" spans="1:13" hidden="1" x14ac:dyDescent="0.2">
      <c r="A66" s="793">
        <v>2.9</v>
      </c>
      <c r="B66" s="797">
        <v>32.295962934089559</v>
      </c>
      <c r="C66" s="798">
        <f t="shared" ref="C66:I66" si="27">(C67-C57)/10*9+C57</f>
        <v>39.700842699806067</v>
      </c>
      <c r="D66" s="797">
        <f t="shared" si="27"/>
        <v>57.958415101652108</v>
      </c>
      <c r="E66" s="798">
        <f t="shared" si="27"/>
        <v>90.691404936067073</v>
      </c>
      <c r="F66" s="797">
        <f t="shared" si="27"/>
        <v>144.20736642916384</v>
      </c>
      <c r="G66" s="798">
        <f t="shared" si="27"/>
        <v>215.49327351843328</v>
      </c>
      <c r="H66" s="797">
        <f t="shared" si="27"/>
        <v>224.68644972705249</v>
      </c>
      <c r="I66" s="798">
        <f t="shared" si="27"/>
        <v>287.69995473264612</v>
      </c>
      <c r="J66" s="797">
        <f>(J67-J57)/10*9+J57</f>
        <v>419.31611392106333</v>
      </c>
      <c r="K66" s="798">
        <f>(K67-K57)/10*9+K57</f>
        <v>512.88432105471929</v>
      </c>
      <c r="L66" s="797">
        <f>(L67-L57)/10*9+L57</f>
        <v>548.88315770950703</v>
      </c>
      <c r="M66" s="798">
        <f>(M67-M57)/10*9+M57</f>
        <v>761.99700858350411</v>
      </c>
    </row>
    <row r="67" spans="1:13" hidden="1" x14ac:dyDescent="0.2">
      <c r="A67" s="793">
        <v>3</v>
      </c>
      <c r="B67" s="797">
        <v>33.085427959424926</v>
      </c>
      <c r="C67" s="798">
        <v>40.576310198959519</v>
      </c>
      <c r="D67" s="797">
        <v>59.520744350077052</v>
      </c>
      <c r="E67" s="798">
        <v>93.242407021607391</v>
      </c>
      <c r="F67" s="797">
        <v>147.30318198119895</v>
      </c>
      <c r="G67" s="798">
        <v>219.27667824445473</v>
      </c>
      <c r="H67" s="797">
        <v>232.38759227114008</v>
      </c>
      <c r="I67" s="798">
        <v>295.5638492227597</v>
      </c>
      <c r="J67" s="797">
        <v>432.79201290449419</v>
      </c>
      <c r="K67" s="798">
        <v>527.23244703690534</v>
      </c>
      <c r="L67" s="797">
        <v>565.18541638737338</v>
      </c>
      <c r="M67" s="798">
        <v>783.85263135047308</v>
      </c>
    </row>
    <row r="68" spans="1:13" hidden="1" x14ac:dyDescent="0.2">
      <c r="A68" s="793">
        <v>3.1</v>
      </c>
      <c r="B68" s="797">
        <v>33.519136549269348</v>
      </c>
      <c r="C68" s="798">
        <f t="shared" ref="C68:I68" si="28">(C77-C67)/10*1+C67</f>
        <v>41.306755350114642</v>
      </c>
      <c r="D68" s="797">
        <f t="shared" si="28"/>
        <v>60.971026026143463</v>
      </c>
      <c r="E68" s="798">
        <f t="shared" si="28"/>
        <v>95.336917388554269</v>
      </c>
      <c r="F68" s="797">
        <f t="shared" si="28"/>
        <v>150.35887015736864</v>
      </c>
      <c r="G68" s="798">
        <f t="shared" si="28"/>
        <v>221.42265909976581</v>
      </c>
      <c r="H68" s="797">
        <f t="shared" si="28"/>
        <v>238.28361059379029</v>
      </c>
      <c r="I68" s="798">
        <f t="shared" si="28"/>
        <v>302.92984730480509</v>
      </c>
      <c r="J68" s="797">
        <f>(J77-J67)/10*1+J67</f>
        <v>444.76228264337226</v>
      </c>
      <c r="K68" s="798">
        <f>(K77-K67)/10*1+K67</f>
        <v>541.21759100472832</v>
      </c>
      <c r="L68" s="797">
        <f>(L77-L67)/10*1+L67</f>
        <v>581.86698587509716</v>
      </c>
      <c r="M68" s="798">
        <f>(M77-M67)/10*1+M67</f>
        <v>804.57869837859187</v>
      </c>
    </row>
    <row r="69" spans="1:13" hidden="1" x14ac:dyDescent="0.2">
      <c r="A69" s="793">
        <v>3.2</v>
      </c>
      <c r="B69" s="797">
        <v>33.952845139113776</v>
      </c>
      <c r="C69" s="798">
        <f t="shared" ref="C69:I69" si="29">(C77-C67)/10*2+C67</f>
        <v>42.037200501269766</v>
      </c>
      <c r="D69" s="797">
        <f t="shared" si="29"/>
        <v>62.421307702209873</v>
      </c>
      <c r="E69" s="798">
        <f t="shared" si="29"/>
        <v>97.431427755501133</v>
      </c>
      <c r="F69" s="797">
        <f t="shared" si="29"/>
        <v>153.41455833353834</v>
      </c>
      <c r="G69" s="798">
        <f t="shared" si="29"/>
        <v>223.56863995507692</v>
      </c>
      <c r="H69" s="797">
        <f t="shared" si="29"/>
        <v>244.17962891644049</v>
      </c>
      <c r="I69" s="798">
        <f t="shared" si="29"/>
        <v>310.29584538685043</v>
      </c>
      <c r="J69" s="797">
        <f>(J77-J67)/10*2+J67</f>
        <v>456.73255238225033</v>
      </c>
      <c r="K69" s="798">
        <f>(K77-K67)/10*2+K67</f>
        <v>555.2027349725513</v>
      </c>
      <c r="L69" s="797">
        <f>(L77-L67)/10*2+L67</f>
        <v>598.54855536282082</v>
      </c>
      <c r="M69" s="798">
        <f>(M77-M67)/10*2+M67</f>
        <v>825.30476540671054</v>
      </c>
    </row>
    <row r="70" spans="1:13" hidden="1" x14ac:dyDescent="0.2">
      <c r="A70" s="793">
        <v>3.3</v>
      </c>
      <c r="B70" s="797">
        <v>34.386553728958205</v>
      </c>
      <c r="C70" s="798">
        <f t="shared" ref="C70:I70" si="30">(C77-C67)/10*3+C67</f>
        <v>42.767645652424889</v>
      </c>
      <c r="D70" s="797">
        <f t="shared" si="30"/>
        <v>63.871589378276283</v>
      </c>
      <c r="E70" s="798">
        <f t="shared" si="30"/>
        <v>99.525938122447997</v>
      </c>
      <c r="F70" s="797">
        <f t="shared" si="30"/>
        <v>156.47024650970803</v>
      </c>
      <c r="G70" s="798">
        <f t="shared" si="30"/>
        <v>225.714620810388</v>
      </c>
      <c r="H70" s="797">
        <f t="shared" si="30"/>
        <v>250.0756472390907</v>
      </c>
      <c r="I70" s="798">
        <f t="shared" si="30"/>
        <v>317.66184346889582</v>
      </c>
      <c r="J70" s="797">
        <f>(J77-J67)/10*3+J67</f>
        <v>468.70282212112841</v>
      </c>
      <c r="K70" s="798">
        <f>(K77-K67)/10*3+K67</f>
        <v>569.18787894037428</v>
      </c>
      <c r="L70" s="797">
        <f>(L77-L67)/10*3+L67</f>
        <v>615.2301248505446</v>
      </c>
      <c r="M70" s="798">
        <f>(M77-M67)/10*3+M67</f>
        <v>846.03083243482934</v>
      </c>
    </row>
    <row r="71" spans="1:13" hidden="1" x14ac:dyDescent="0.2">
      <c r="A71" s="793">
        <v>3.4</v>
      </c>
      <c r="B71" s="797">
        <v>34.820262318802627</v>
      </c>
      <c r="C71" s="798">
        <f t="shared" ref="C71:I71" si="31">(C77-C67)/10*4+C67</f>
        <v>43.498090803580013</v>
      </c>
      <c r="D71" s="797">
        <f t="shared" si="31"/>
        <v>65.321871054342694</v>
      </c>
      <c r="E71" s="798">
        <f t="shared" si="31"/>
        <v>101.62044848939487</v>
      </c>
      <c r="F71" s="797">
        <f t="shared" si="31"/>
        <v>159.52593468587773</v>
      </c>
      <c r="G71" s="798">
        <f t="shared" si="31"/>
        <v>227.86060166569911</v>
      </c>
      <c r="H71" s="797">
        <f t="shared" si="31"/>
        <v>255.97166556174091</v>
      </c>
      <c r="I71" s="798">
        <f t="shared" si="31"/>
        <v>325.02784155094116</v>
      </c>
      <c r="J71" s="797">
        <f>(J77-J67)/10*4+J67</f>
        <v>480.67309186000654</v>
      </c>
      <c r="K71" s="798">
        <f>(K77-K67)/10*4+K67</f>
        <v>583.17302290819725</v>
      </c>
      <c r="L71" s="797">
        <f>(L77-L67)/10*4+L67</f>
        <v>631.91169433826826</v>
      </c>
      <c r="M71" s="798">
        <f>(M77-M67)/10*4+M67</f>
        <v>866.75689946294813</v>
      </c>
    </row>
    <row r="72" spans="1:13" hidden="1" x14ac:dyDescent="0.2">
      <c r="A72" s="793">
        <v>3.5</v>
      </c>
      <c r="B72" s="797">
        <v>35.253970908647048</v>
      </c>
      <c r="C72" s="798">
        <f t="shared" ref="C72:I72" si="32">(C77-C67)/10*5+C67</f>
        <v>44.228535954735136</v>
      </c>
      <c r="D72" s="797">
        <f t="shared" si="32"/>
        <v>66.77215273040909</v>
      </c>
      <c r="E72" s="798">
        <f t="shared" si="32"/>
        <v>103.71495885634175</v>
      </c>
      <c r="F72" s="797">
        <f t="shared" si="32"/>
        <v>162.58162286204742</v>
      </c>
      <c r="G72" s="798">
        <f t="shared" si="32"/>
        <v>230.00658252101019</v>
      </c>
      <c r="H72" s="797">
        <f t="shared" si="32"/>
        <v>261.86768388439111</v>
      </c>
      <c r="I72" s="798">
        <f t="shared" si="32"/>
        <v>332.39383963298656</v>
      </c>
      <c r="J72" s="797">
        <f>(J77-J67)/10*5+J67</f>
        <v>492.64336159888461</v>
      </c>
      <c r="K72" s="798">
        <f>(K77-K67)/10*5+K67</f>
        <v>597.15816687602023</v>
      </c>
      <c r="L72" s="797">
        <f>(L77-L67)/10*5+L67</f>
        <v>648.59326382599204</v>
      </c>
      <c r="M72" s="798">
        <f>(M77-M67)/10*5+M67</f>
        <v>887.48296649106692</v>
      </c>
    </row>
    <row r="73" spans="1:13" hidden="1" x14ac:dyDescent="0.2">
      <c r="A73" s="793">
        <v>3.6</v>
      </c>
      <c r="B73" s="797">
        <v>35.687679498491477</v>
      </c>
      <c r="C73" s="798">
        <f t="shared" ref="C73:I73" si="33">(C77-C67)/10*6+C67</f>
        <v>44.95898110589026</v>
      </c>
      <c r="D73" s="797">
        <f t="shared" si="33"/>
        <v>68.222434406475514</v>
      </c>
      <c r="E73" s="798">
        <f t="shared" si="33"/>
        <v>105.80946922328862</v>
      </c>
      <c r="F73" s="797">
        <f t="shared" si="33"/>
        <v>165.63731103821715</v>
      </c>
      <c r="G73" s="798">
        <f t="shared" si="33"/>
        <v>232.15256337632127</v>
      </c>
      <c r="H73" s="797">
        <f t="shared" si="33"/>
        <v>267.76370220704132</v>
      </c>
      <c r="I73" s="798">
        <f t="shared" si="33"/>
        <v>339.75983771503195</v>
      </c>
      <c r="J73" s="797">
        <f>(J77-J67)/10*6+J67</f>
        <v>504.61363133776268</v>
      </c>
      <c r="K73" s="798">
        <f>(K77-K67)/10*6+K67</f>
        <v>611.14331084384321</v>
      </c>
      <c r="L73" s="797">
        <f>(L77-L67)/10*6+L67</f>
        <v>665.27483331371582</v>
      </c>
      <c r="M73" s="798">
        <f>(M77-M67)/10*6+M67</f>
        <v>908.2090335191856</v>
      </c>
    </row>
    <row r="74" spans="1:13" hidden="1" x14ac:dyDescent="0.2">
      <c r="A74" s="793">
        <v>3.7</v>
      </c>
      <c r="B74" s="797">
        <v>36.121388088335905</v>
      </c>
      <c r="C74" s="798">
        <f t="shared" ref="C74:I74" si="34">(C77-C67)/10*7+C67</f>
        <v>45.689426257045376</v>
      </c>
      <c r="D74" s="797">
        <f t="shared" si="34"/>
        <v>69.672716082541911</v>
      </c>
      <c r="E74" s="798">
        <f t="shared" si="34"/>
        <v>107.90397959023548</v>
      </c>
      <c r="F74" s="797">
        <f t="shared" si="34"/>
        <v>168.69299921438684</v>
      </c>
      <c r="G74" s="798">
        <f t="shared" si="34"/>
        <v>234.29854423163238</v>
      </c>
      <c r="H74" s="797">
        <f t="shared" si="34"/>
        <v>273.65972052969153</v>
      </c>
      <c r="I74" s="798">
        <f t="shared" si="34"/>
        <v>347.12583579707729</v>
      </c>
      <c r="J74" s="797">
        <f>(J77-J67)/10*7+J67</f>
        <v>516.58390107664081</v>
      </c>
      <c r="K74" s="798">
        <f>(K77-K67)/10*7+K67</f>
        <v>625.1284548116663</v>
      </c>
      <c r="L74" s="797">
        <f>(L77-L67)/10*7+L67</f>
        <v>681.95640280143948</v>
      </c>
      <c r="M74" s="798">
        <f>(M77-M67)/10*7+M67</f>
        <v>928.93510054730439</v>
      </c>
    </row>
    <row r="75" spans="1:13" hidden="1" x14ac:dyDescent="0.2">
      <c r="A75" s="793">
        <v>3.8</v>
      </c>
      <c r="B75" s="797">
        <v>36.555096678180327</v>
      </c>
      <c r="C75" s="798">
        <f t="shared" ref="C75:I75" si="35">(C77-C67)/10*8+C67</f>
        <v>46.4198714082005</v>
      </c>
      <c r="D75" s="797">
        <f t="shared" si="35"/>
        <v>71.122997758608321</v>
      </c>
      <c r="E75" s="798">
        <f t="shared" si="35"/>
        <v>109.99848995718236</v>
      </c>
      <c r="F75" s="797">
        <f t="shared" si="35"/>
        <v>171.74868739055654</v>
      </c>
      <c r="G75" s="798">
        <f t="shared" si="35"/>
        <v>236.44452508694346</v>
      </c>
      <c r="H75" s="797">
        <f t="shared" si="35"/>
        <v>279.55573885234173</v>
      </c>
      <c r="I75" s="798">
        <f t="shared" si="35"/>
        <v>354.49183387912268</v>
      </c>
      <c r="J75" s="797">
        <f>(J77-J67)/10*8+J67</f>
        <v>528.55417081551889</v>
      </c>
      <c r="K75" s="798">
        <f>(K77-K67)/10*8+K67</f>
        <v>639.11359877948928</v>
      </c>
      <c r="L75" s="797">
        <f>(L77-L67)/10*8+L67</f>
        <v>698.63797228916326</v>
      </c>
      <c r="M75" s="798">
        <f>(M77-M67)/10*8+M67</f>
        <v>949.66116757542318</v>
      </c>
    </row>
    <row r="76" spans="1:13" hidden="1" x14ac:dyDescent="0.2">
      <c r="A76" s="793">
        <v>3.9</v>
      </c>
      <c r="B76" s="797">
        <v>36.988805268024748</v>
      </c>
      <c r="C76" s="798">
        <f t="shared" ref="C76:I76" si="36">(C77-C67)/10*9+C67</f>
        <v>47.150316559355623</v>
      </c>
      <c r="D76" s="797">
        <f t="shared" si="36"/>
        <v>72.573279434674731</v>
      </c>
      <c r="E76" s="798">
        <f t="shared" si="36"/>
        <v>112.09300032412924</v>
      </c>
      <c r="F76" s="797">
        <f t="shared" si="36"/>
        <v>174.80437556672624</v>
      </c>
      <c r="G76" s="798">
        <f t="shared" si="36"/>
        <v>238.59050594225457</v>
      </c>
      <c r="H76" s="797">
        <f t="shared" si="36"/>
        <v>285.45175717499194</v>
      </c>
      <c r="I76" s="798">
        <f t="shared" si="36"/>
        <v>361.85783196116802</v>
      </c>
      <c r="J76" s="797">
        <f>(J77-J67)/10*9+J67</f>
        <v>540.52444055439696</v>
      </c>
      <c r="K76" s="798">
        <f>(K77-K67)/10*9+K67</f>
        <v>653.09874274731226</v>
      </c>
      <c r="L76" s="797">
        <f>(L77-L67)/10*9+L67</f>
        <v>715.31954177688692</v>
      </c>
      <c r="M76" s="798">
        <f>(M77-M67)/10*9+M67</f>
        <v>970.38723460354186</v>
      </c>
    </row>
    <row r="77" spans="1:13" hidden="1" x14ac:dyDescent="0.2">
      <c r="A77" s="793">
        <v>4</v>
      </c>
      <c r="B77" s="797">
        <v>37.422513857869177</v>
      </c>
      <c r="C77" s="798">
        <v>47.880761710510747</v>
      </c>
      <c r="D77" s="797">
        <v>74.023561110741142</v>
      </c>
      <c r="E77" s="798">
        <v>114.1875106910761</v>
      </c>
      <c r="F77" s="797">
        <v>177.86006374289593</v>
      </c>
      <c r="G77" s="798">
        <v>240.73648679756565</v>
      </c>
      <c r="H77" s="797">
        <v>291.34777549764215</v>
      </c>
      <c r="I77" s="798">
        <v>369.22383004321341</v>
      </c>
      <c r="J77" s="797">
        <v>552.49471029327503</v>
      </c>
      <c r="K77" s="798">
        <v>667.08388671513524</v>
      </c>
      <c r="L77" s="797">
        <v>732.0011112646107</v>
      </c>
      <c r="M77" s="798">
        <v>991.11330163166065</v>
      </c>
    </row>
    <row r="78" spans="1:13" hidden="1" x14ac:dyDescent="0.2">
      <c r="A78" s="793">
        <v>4.0999999999999996</v>
      </c>
      <c r="B78" s="797">
        <v>37.895540617745816</v>
      </c>
      <c r="C78" s="798">
        <f t="shared" ref="C78:I78" si="37">(C87-C77)/10*1+C77</f>
        <v>48.748748786490474</v>
      </c>
      <c r="D78" s="797">
        <f t="shared" si="37"/>
        <v>75.030506322309989</v>
      </c>
      <c r="E78" s="798">
        <f t="shared" si="37"/>
        <v>115.85091916767718</v>
      </c>
      <c r="F78" s="797">
        <f t="shared" si="37"/>
        <v>180.52898482069213</v>
      </c>
      <c r="G78" s="798">
        <f t="shared" si="37"/>
        <v>242.70616736304513</v>
      </c>
      <c r="H78" s="797">
        <f t="shared" si="37"/>
        <v>297.25561957562491</v>
      </c>
      <c r="I78" s="798">
        <f t="shared" si="37"/>
        <v>375.32985283082451</v>
      </c>
      <c r="J78" s="797">
        <f>(J87-J77)/10*1+J77</f>
        <v>565.0748550547321</v>
      </c>
      <c r="K78" s="798">
        <f>(K87-K77)/10*1+K77</f>
        <v>680.15277698570117</v>
      </c>
      <c r="L78" s="797">
        <f>(L87-L77)/10*1+L77</f>
        <v>746.04002166652663</v>
      </c>
      <c r="M78" s="798">
        <f>(M87-M77)/10*1+M77</f>
        <v>1010.8309627848113</v>
      </c>
    </row>
    <row r="79" spans="1:13" hidden="1" x14ac:dyDescent="0.2">
      <c r="A79" s="793">
        <v>4.2</v>
      </c>
      <c r="B79" s="797">
        <v>38.368567377622455</v>
      </c>
      <c r="C79" s="798">
        <f t="shared" ref="C79:I79" si="38">(C87-C77)/10*2+C77</f>
        <v>49.6167358624702</v>
      </c>
      <c r="D79" s="797">
        <f t="shared" si="38"/>
        <v>76.037451533878823</v>
      </c>
      <c r="E79" s="798">
        <f t="shared" si="38"/>
        <v>117.51432764427827</v>
      </c>
      <c r="F79" s="797">
        <f t="shared" si="38"/>
        <v>183.19790589848833</v>
      </c>
      <c r="G79" s="798">
        <f t="shared" si="38"/>
        <v>244.6758479285246</v>
      </c>
      <c r="H79" s="797">
        <f t="shared" si="38"/>
        <v>303.16346365360761</v>
      </c>
      <c r="I79" s="798">
        <f t="shared" si="38"/>
        <v>381.43587561843555</v>
      </c>
      <c r="J79" s="797">
        <f>(J87-J77)/10*2+J77</f>
        <v>577.65499981618916</v>
      </c>
      <c r="K79" s="798">
        <f>(K87-K77)/10*2+K77</f>
        <v>693.2216672562671</v>
      </c>
      <c r="L79" s="797">
        <f>(L87-L77)/10*2+L77</f>
        <v>760.07893206844244</v>
      </c>
      <c r="M79" s="798">
        <f>(M87-M77)/10*2+M77</f>
        <v>1030.5486239379618</v>
      </c>
    </row>
    <row r="80" spans="1:13" hidden="1" x14ac:dyDescent="0.2">
      <c r="A80" s="793">
        <v>4.3</v>
      </c>
      <c r="B80" s="797">
        <v>38.841594137499094</v>
      </c>
      <c r="C80" s="798">
        <f t="shared" ref="C80:I80" si="39">(C87-C77)/10*3+C77</f>
        <v>50.484722938449927</v>
      </c>
      <c r="D80" s="797">
        <f t="shared" si="39"/>
        <v>77.044396745447671</v>
      </c>
      <c r="E80" s="798">
        <f t="shared" si="39"/>
        <v>119.17773612087936</v>
      </c>
      <c r="F80" s="797">
        <f t="shared" si="39"/>
        <v>185.86682697628453</v>
      </c>
      <c r="G80" s="798">
        <f t="shared" si="39"/>
        <v>246.64552849400405</v>
      </c>
      <c r="H80" s="797">
        <f t="shared" si="39"/>
        <v>309.07130773159031</v>
      </c>
      <c r="I80" s="798">
        <f t="shared" si="39"/>
        <v>387.54189840604664</v>
      </c>
      <c r="J80" s="797">
        <f>(J87-J77)/10*3+J77</f>
        <v>590.23514457764611</v>
      </c>
      <c r="K80" s="798">
        <f>(K87-K77)/10*3+K77</f>
        <v>706.29055752683291</v>
      </c>
      <c r="L80" s="797">
        <f>(L87-L77)/10*3+L77</f>
        <v>774.11784247035837</v>
      </c>
      <c r="M80" s="798">
        <f>(M87-M77)/10*3+M77</f>
        <v>1050.2662850911124</v>
      </c>
    </row>
    <row r="81" spans="1:13" hidden="1" x14ac:dyDescent="0.2">
      <c r="A81" s="793">
        <v>4.4000000000000004</v>
      </c>
      <c r="B81" s="797">
        <v>39.314620897375733</v>
      </c>
      <c r="C81" s="798">
        <f t="shared" ref="C81:I81" si="40">(C87-C77)/10*4+C77</f>
        <v>51.352710014429654</v>
      </c>
      <c r="D81" s="797">
        <f t="shared" si="40"/>
        <v>78.051341957016504</v>
      </c>
      <c r="E81" s="798">
        <f t="shared" si="40"/>
        <v>120.84114459748044</v>
      </c>
      <c r="F81" s="797">
        <f t="shared" si="40"/>
        <v>188.53574805408073</v>
      </c>
      <c r="G81" s="798">
        <f t="shared" si="40"/>
        <v>248.61520905948353</v>
      </c>
      <c r="H81" s="797">
        <f t="shared" si="40"/>
        <v>314.97915180957307</v>
      </c>
      <c r="I81" s="798">
        <f t="shared" si="40"/>
        <v>393.64792119365774</v>
      </c>
      <c r="J81" s="797">
        <f>(J87-J77)/10*4+J77</f>
        <v>602.81528933910317</v>
      </c>
      <c r="K81" s="798">
        <f>(K87-K77)/10*4+K77</f>
        <v>719.35944779739884</v>
      </c>
      <c r="L81" s="797">
        <f>(L87-L77)/10*4+L77</f>
        <v>788.1567528722743</v>
      </c>
      <c r="M81" s="798">
        <f>(M87-M77)/10*4+M77</f>
        <v>1069.9839462442631</v>
      </c>
    </row>
    <row r="82" spans="1:13" hidden="1" x14ac:dyDescent="0.2">
      <c r="A82" s="793">
        <v>4.5</v>
      </c>
      <c r="B82" s="797">
        <v>39.787647657252364</v>
      </c>
      <c r="C82" s="798">
        <f t="shared" ref="C82:I82" si="41">(C87-C77)/10*5+C77</f>
        <v>52.220697090409374</v>
      </c>
      <c r="D82" s="797">
        <f t="shared" si="41"/>
        <v>79.058287168585352</v>
      </c>
      <c r="E82" s="798">
        <f t="shared" si="41"/>
        <v>122.50455307408151</v>
      </c>
      <c r="F82" s="797">
        <f t="shared" si="41"/>
        <v>191.20466913187693</v>
      </c>
      <c r="G82" s="798">
        <f t="shared" si="41"/>
        <v>250.58488962496301</v>
      </c>
      <c r="H82" s="797">
        <f t="shared" si="41"/>
        <v>320.88699588755583</v>
      </c>
      <c r="I82" s="798">
        <f t="shared" si="41"/>
        <v>399.75394398126878</v>
      </c>
      <c r="J82" s="797">
        <f>(J87-J77)/10*5+J77</f>
        <v>615.39543410056024</v>
      </c>
      <c r="K82" s="798">
        <f>(K87-K77)/10*5+K77</f>
        <v>732.42833806796477</v>
      </c>
      <c r="L82" s="797">
        <f>(L87-L77)/10*5+L77</f>
        <v>802.19566327419011</v>
      </c>
      <c r="M82" s="798">
        <f>(M87-M77)/10*5+M77</f>
        <v>1089.7016073974137</v>
      </c>
    </row>
    <row r="83" spans="1:13" hidden="1" x14ac:dyDescent="0.2">
      <c r="A83" s="793">
        <v>4.5999999999999996</v>
      </c>
      <c r="B83" s="797">
        <v>40.260674417129003</v>
      </c>
      <c r="C83" s="798">
        <f t="shared" ref="C83:I83" si="42">(C87-C77)/10*6+C77</f>
        <v>53.0886841663891</v>
      </c>
      <c r="D83" s="797">
        <f t="shared" si="42"/>
        <v>80.0652323801542</v>
      </c>
      <c r="E83" s="798">
        <f t="shared" si="42"/>
        <v>124.16796155068261</v>
      </c>
      <c r="F83" s="797">
        <f t="shared" si="42"/>
        <v>193.87359020967313</v>
      </c>
      <c r="G83" s="798">
        <f t="shared" si="42"/>
        <v>252.55457019044249</v>
      </c>
      <c r="H83" s="797">
        <f t="shared" si="42"/>
        <v>326.79483996553853</v>
      </c>
      <c r="I83" s="798">
        <f t="shared" si="42"/>
        <v>405.85996676887987</v>
      </c>
      <c r="J83" s="797">
        <f>(J87-J77)/10*6+J77</f>
        <v>627.9755788620173</v>
      </c>
      <c r="K83" s="798">
        <f>(K87-K77)/10*6+K77</f>
        <v>745.4972283385307</v>
      </c>
      <c r="L83" s="797">
        <f>(L87-L77)/10*6+L77</f>
        <v>816.23457367610604</v>
      </c>
      <c r="M83" s="798">
        <f>(M87-M77)/10*6+M77</f>
        <v>1109.4192685505643</v>
      </c>
    </row>
    <row r="84" spans="1:13" hidden="1" x14ac:dyDescent="0.2">
      <c r="A84" s="793">
        <v>4.7</v>
      </c>
      <c r="B84" s="797">
        <v>40.733701177005642</v>
      </c>
      <c r="C84" s="798">
        <f t="shared" ref="C84:I84" si="43">(C87-C77)/10*7+C77</f>
        <v>53.956671242368827</v>
      </c>
      <c r="D84" s="797">
        <f t="shared" si="43"/>
        <v>81.072177591723033</v>
      </c>
      <c r="E84" s="798">
        <f t="shared" si="43"/>
        <v>125.8313700272837</v>
      </c>
      <c r="F84" s="797">
        <f t="shared" si="43"/>
        <v>196.5425112874693</v>
      </c>
      <c r="G84" s="798">
        <f t="shared" si="43"/>
        <v>254.52425075592197</v>
      </c>
      <c r="H84" s="797">
        <f t="shared" si="43"/>
        <v>332.70268404352123</v>
      </c>
      <c r="I84" s="798">
        <f t="shared" si="43"/>
        <v>411.96598955649097</v>
      </c>
      <c r="J84" s="797">
        <f>(J87-J77)/10*7+J77</f>
        <v>640.55572362347436</v>
      </c>
      <c r="K84" s="798">
        <f>(K87-K77)/10*7+K77</f>
        <v>758.56611860909663</v>
      </c>
      <c r="L84" s="797">
        <f>(L87-L77)/10*7+L77</f>
        <v>830.27348407802197</v>
      </c>
      <c r="M84" s="798">
        <f>(M87-M77)/10*7+M77</f>
        <v>1129.1369297037149</v>
      </c>
    </row>
    <row r="85" spans="1:13" hidden="1" x14ac:dyDescent="0.2">
      <c r="A85" s="793">
        <v>4.8</v>
      </c>
      <c r="B85" s="797">
        <v>41.206727936882281</v>
      </c>
      <c r="C85" s="798">
        <f t="shared" ref="C85:I85" si="44">(C87-C77)/10*8+C77</f>
        <v>54.824658318348554</v>
      </c>
      <c r="D85" s="797">
        <f t="shared" si="44"/>
        <v>82.079122803291881</v>
      </c>
      <c r="E85" s="798">
        <f t="shared" si="44"/>
        <v>127.49477850388477</v>
      </c>
      <c r="F85" s="797">
        <f t="shared" si="44"/>
        <v>199.21143236526549</v>
      </c>
      <c r="G85" s="798">
        <f t="shared" si="44"/>
        <v>256.49393132140142</v>
      </c>
      <c r="H85" s="797">
        <f t="shared" si="44"/>
        <v>338.61052812150399</v>
      </c>
      <c r="I85" s="798">
        <f t="shared" si="44"/>
        <v>418.07201234410206</v>
      </c>
      <c r="J85" s="797">
        <f>(J87-J77)/10*8+J77</f>
        <v>653.13586838493131</v>
      </c>
      <c r="K85" s="798">
        <f>(K87-K77)/10*8+K77</f>
        <v>771.63500887966245</v>
      </c>
      <c r="L85" s="797">
        <f>(L87-L77)/10*8+L77</f>
        <v>844.31239447993789</v>
      </c>
      <c r="M85" s="798">
        <f>(M87-M77)/10*8+M77</f>
        <v>1148.8545908568656</v>
      </c>
    </row>
    <row r="86" spans="1:13" hidden="1" x14ac:dyDescent="0.2">
      <c r="A86" s="793">
        <v>4.9000000000000004</v>
      </c>
      <c r="B86" s="797">
        <v>41.67975469675892</v>
      </c>
      <c r="C86" s="798">
        <f t="shared" ref="C86:I86" si="45">(C87-C77)/10*9+C77</f>
        <v>55.692645394328281</v>
      </c>
      <c r="D86" s="797">
        <f t="shared" si="45"/>
        <v>83.086068014860714</v>
      </c>
      <c r="E86" s="798">
        <f t="shared" si="45"/>
        <v>129.15818698048585</v>
      </c>
      <c r="F86" s="797">
        <f t="shared" si="45"/>
        <v>201.88035344306169</v>
      </c>
      <c r="G86" s="798">
        <f t="shared" si="45"/>
        <v>258.46361188688093</v>
      </c>
      <c r="H86" s="797">
        <f t="shared" si="45"/>
        <v>344.51837219948675</v>
      </c>
      <c r="I86" s="798">
        <f t="shared" si="45"/>
        <v>424.1780351317131</v>
      </c>
      <c r="J86" s="797">
        <f>(J87-J77)/10*9+J77</f>
        <v>665.71601314638838</v>
      </c>
      <c r="K86" s="798">
        <f>(K87-K77)/10*9+K77</f>
        <v>784.70389915022838</v>
      </c>
      <c r="L86" s="797">
        <f>(L87-L77)/10*9+L77</f>
        <v>858.35130488185371</v>
      </c>
      <c r="M86" s="798">
        <f>(M87-M77)/10*9+M77</f>
        <v>1168.5722520100162</v>
      </c>
    </row>
    <row r="87" spans="1:13" hidden="1" x14ac:dyDescent="0.2">
      <c r="A87" s="793">
        <v>5</v>
      </c>
      <c r="B87" s="797">
        <v>42.152781456635559</v>
      </c>
      <c r="C87" s="798">
        <v>56.560632470308008</v>
      </c>
      <c r="D87" s="797">
        <v>84.093013226429562</v>
      </c>
      <c r="E87" s="798">
        <v>130.82159545708694</v>
      </c>
      <c r="F87" s="797">
        <v>204.54927452085789</v>
      </c>
      <c r="G87" s="798">
        <v>260.43329245236038</v>
      </c>
      <c r="H87" s="797">
        <v>350.42621627746945</v>
      </c>
      <c r="I87" s="798">
        <v>430.2840579193242</v>
      </c>
      <c r="J87" s="797">
        <v>678.29615790784544</v>
      </c>
      <c r="K87" s="798">
        <v>797.77278942079431</v>
      </c>
      <c r="L87" s="797">
        <v>872.39021528376963</v>
      </c>
      <c r="M87" s="798">
        <v>1188.2899131631668</v>
      </c>
    </row>
    <row r="88" spans="1:13" hidden="1" x14ac:dyDescent="0.2">
      <c r="A88" s="793">
        <v>5.0999999999999996</v>
      </c>
      <c r="B88" s="797">
        <v>42.919127882078037</v>
      </c>
      <c r="C88" s="798">
        <f t="shared" ref="C88:I88" si="46">(C97-C87)/10*1+C87</f>
        <v>57.506052988047578</v>
      </c>
      <c r="D88" s="797">
        <f t="shared" si="46"/>
        <v>85.234897794852614</v>
      </c>
      <c r="E88" s="798">
        <f t="shared" si="46"/>
        <v>133.32490927037179</v>
      </c>
      <c r="F88" s="797">
        <f t="shared" si="46"/>
        <v>206.94762154355146</v>
      </c>
      <c r="G88" s="798">
        <f t="shared" si="46"/>
        <v>263.46425762288027</v>
      </c>
      <c r="H88" s="797">
        <f t="shared" si="46"/>
        <v>356.57867434814892</v>
      </c>
      <c r="I88" s="798">
        <f t="shared" si="46"/>
        <v>436.83306754767034</v>
      </c>
      <c r="J88" s="797">
        <f>(J97-J87)/10*1+J87</f>
        <v>688.22546284327052</v>
      </c>
      <c r="K88" s="798">
        <f>(K97-K87)/10*1+K87</f>
        <v>808.41618480884324</v>
      </c>
      <c r="L88" s="797">
        <f>(L97-L87)/10*1+L87</f>
        <v>887.49384066697871</v>
      </c>
      <c r="M88" s="798">
        <f>(M97-M87)/10*1+M87</f>
        <v>1206.1977606266059</v>
      </c>
    </row>
    <row r="89" spans="1:13" hidden="1" x14ac:dyDescent="0.2">
      <c r="A89" s="793">
        <v>5.2</v>
      </c>
      <c r="B89" s="797">
        <v>43.685474307520515</v>
      </c>
      <c r="C89" s="798">
        <f t="shared" ref="C89:I89" si="47">(C97-C87)/10*2+C87</f>
        <v>58.451473505787156</v>
      </c>
      <c r="D89" s="797">
        <f t="shared" si="47"/>
        <v>86.376782363275666</v>
      </c>
      <c r="E89" s="798">
        <f t="shared" si="47"/>
        <v>135.82822308365667</v>
      </c>
      <c r="F89" s="797">
        <f t="shared" si="47"/>
        <v>209.34596856624501</v>
      </c>
      <c r="G89" s="798">
        <f t="shared" si="47"/>
        <v>266.49522279340016</v>
      </c>
      <c r="H89" s="797">
        <f t="shared" si="47"/>
        <v>362.73113241882845</v>
      </c>
      <c r="I89" s="798">
        <f t="shared" si="47"/>
        <v>443.38207717601642</v>
      </c>
      <c r="J89" s="797">
        <f>(J97-J87)/10*2+J87</f>
        <v>698.1547677786956</v>
      </c>
      <c r="K89" s="798">
        <f>(K97-K87)/10*2+K87</f>
        <v>819.05958019689228</v>
      </c>
      <c r="L89" s="797">
        <f>(L97-L87)/10*2+L87</f>
        <v>902.5974660501879</v>
      </c>
      <c r="M89" s="798">
        <f>(M97-M87)/10*2+M87</f>
        <v>1224.1056080900451</v>
      </c>
    </row>
    <row r="90" spans="1:13" hidden="1" x14ac:dyDescent="0.2">
      <c r="A90" s="793">
        <v>5.3</v>
      </c>
      <c r="B90" s="797">
        <v>44.451820732963</v>
      </c>
      <c r="C90" s="798">
        <f t="shared" ref="C90:I90" si="48">(C97-C87)/10*3+C87</f>
        <v>59.396894023526727</v>
      </c>
      <c r="D90" s="797">
        <f t="shared" si="48"/>
        <v>87.518666931698718</v>
      </c>
      <c r="E90" s="798">
        <f t="shared" si="48"/>
        <v>138.33153689694151</v>
      </c>
      <c r="F90" s="797">
        <f t="shared" si="48"/>
        <v>211.74431558893858</v>
      </c>
      <c r="G90" s="798">
        <f t="shared" si="48"/>
        <v>269.52618796392005</v>
      </c>
      <c r="H90" s="797">
        <f t="shared" si="48"/>
        <v>368.88359048950792</v>
      </c>
      <c r="I90" s="798">
        <f t="shared" si="48"/>
        <v>449.93108680436251</v>
      </c>
      <c r="J90" s="797">
        <f>(J97-J87)/10*3+J87</f>
        <v>708.08407271412068</v>
      </c>
      <c r="K90" s="798">
        <f>(K97-K87)/10*3+K87</f>
        <v>829.70297558494121</v>
      </c>
      <c r="L90" s="797">
        <f>(L97-L87)/10*3+L87</f>
        <v>917.7010914333971</v>
      </c>
      <c r="M90" s="798">
        <f>(M97-M87)/10*3+M87</f>
        <v>1242.0134555534844</v>
      </c>
    </row>
    <row r="91" spans="1:13" hidden="1" x14ac:dyDescent="0.2">
      <c r="A91" s="793">
        <v>5.4</v>
      </c>
      <c r="B91" s="797">
        <v>45.218167158405478</v>
      </c>
      <c r="C91" s="798">
        <f t="shared" ref="C91:I91" si="49">(C97-C87)/10*4+C87</f>
        <v>60.342314541266305</v>
      </c>
      <c r="D91" s="797">
        <f t="shared" si="49"/>
        <v>88.66055150012177</v>
      </c>
      <c r="E91" s="798">
        <f t="shared" si="49"/>
        <v>140.83485071022639</v>
      </c>
      <c r="F91" s="797">
        <f t="shared" si="49"/>
        <v>214.14266261163212</v>
      </c>
      <c r="G91" s="798">
        <f t="shared" si="49"/>
        <v>272.55715313443994</v>
      </c>
      <c r="H91" s="797">
        <f t="shared" si="49"/>
        <v>375.0360485601874</v>
      </c>
      <c r="I91" s="798">
        <f t="shared" si="49"/>
        <v>456.48009643270865</v>
      </c>
      <c r="J91" s="797">
        <f>(J97-J87)/10*4+J87</f>
        <v>718.01337764954576</v>
      </c>
      <c r="K91" s="798">
        <f>(K97-K87)/10*4+K87</f>
        <v>840.34637097299014</v>
      </c>
      <c r="L91" s="797">
        <f>(L97-L87)/10*4+L87</f>
        <v>932.80471681660617</v>
      </c>
      <c r="M91" s="798">
        <f>(M97-M87)/10*4+M87</f>
        <v>1259.9213030169235</v>
      </c>
    </row>
    <row r="92" spans="1:13" hidden="1" x14ac:dyDescent="0.2">
      <c r="A92" s="793">
        <v>5.5</v>
      </c>
      <c r="B92" s="797">
        <v>45.984513583847956</v>
      </c>
      <c r="C92" s="798">
        <f t="shared" ref="C92:I92" si="50">(C97-C87)/10*5+C87</f>
        <v>61.287735059005875</v>
      </c>
      <c r="D92" s="797">
        <f t="shared" si="50"/>
        <v>89.802436068544807</v>
      </c>
      <c r="E92" s="798">
        <f t="shared" si="50"/>
        <v>143.33816452351124</v>
      </c>
      <c r="F92" s="797">
        <f t="shared" si="50"/>
        <v>216.54100963432569</v>
      </c>
      <c r="G92" s="798">
        <f t="shared" si="50"/>
        <v>275.58811830495983</v>
      </c>
      <c r="H92" s="797">
        <f t="shared" si="50"/>
        <v>381.18850663086687</v>
      </c>
      <c r="I92" s="798">
        <f t="shared" si="50"/>
        <v>463.02910606105479</v>
      </c>
      <c r="J92" s="797">
        <f>(J97-J87)/10*5+J87</f>
        <v>727.94268258497095</v>
      </c>
      <c r="K92" s="798">
        <f>(K97-K87)/10*5+K87</f>
        <v>850.98976636103907</v>
      </c>
      <c r="L92" s="797">
        <f>(L97-L87)/10*5+L87</f>
        <v>947.90834219981525</v>
      </c>
      <c r="M92" s="798">
        <f>(M97-M87)/10*5+M87</f>
        <v>1277.8291504803626</v>
      </c>
    </row>
    <row r="93" spans="1:13" hidden="1" x14ac:dyDescent="0.2">
      <c r="A93" s="793">
        <v>5.6</v>
      </c>
      <c r="B93" s="797">
        <v>46.750860009290435</v>
      </c>
      <c r="C93" s="798">
        <f t="shared" ref="C93:I93" si="51">(C97-C87)/10*6+C87</f>
        <v>62.233155576745446</v>
      </c>
      <c r="D93" s="797">
        <f t="shared" si="51"/>
        <v>90.944320636967859</v>
      </c>
      <c r="E93" s="798">
        <f t="shared" si="51"/>
        <v>145.84147833679609</v>
      </c>
      <c r="F93" s="797">
        <f t="shared" si="51"/>
        <v>218.93935665701926</v>
      </c>
      <c r="G93" s="798">
        <f t="shared" si="51"/>
        <v>278.61908347547967</v>
      </c>
      <c r="H93" s="797">
        <f t="shared" si="51"/>
        <v>387.3409647015464</v>
      </c>
      <c r="I93" s="798">
        <f t="shared" si="51"/>
        <v>469.57811568940087</v>
      </c>
      <c r="J93" s="797">
        <f>(J97-J87)/10*6+J87</f>
        <v>737.87198752039603</v>
      </c>
      <c r="K93" s="798">
        <f>(K97-K87)/10*6+K87</f>
        <v>861.63316174908812</v>
      </c>
      <c r="L93" s="797">
        <f>(L97-L87)/10*6+L87</f>
        <v>963.01196758302444</v>
      </c>
      <c r="M93" s="798">
        <f>(M97-M87)/10*6+M87</f>
        <v>1295.7369979438017</v>
      </c>
    </row>
    <row r="94" spans="1:13" hidden="1" x14ac:dyDescent="0.2">
      <c r="A94" s="793">
        <v>5.7</v>
      </c>
      <c r="B94" s="797">
        <v>47.517206434732913</v>
      </c>
      <c r="C94" s="798">
        <f t="shared" ref="C94:I94" si="52">(C97-C87)/10*7+C87</f>
        <v>63.178576094485024</v>
      </c>
      <c r="D94" s="797">
        <f t="shared" si="52"/>
        <v>92.086205205390911</v>
      </c>
      <c r="E94" s="798">
        <f t="shared" si="52"/>
        <v>148.34479215008096</v>
      </c>
      <c r="F94" s="797">
        <f t="shared" si="52"/>
        <v>221.3377036797128</v>
      </c>
      <c r="G94" s="798">
        <f t="shared" si="52"/>
        <v>281.65004864599956</v>
      </c>
      <c r="H94" s="797">
        <f t="shared" si="52"/>
        <v>393.49342277222587</v>
      </c>
      <c r="I94" s="798">
        <f t="shared" si="52"/>
        <v>476.12712531774696</v>
      </c>
      <c r="J94" s="797">
        <f>(J97-J87)/10*7+J87</f>
        <v>747.80129245582111</v>
      </c>
      <c r="K94" s="798">
        <f>(K97-K87)/10*7+K87</f>
        <v>872.27655713713705</v>
      </c>
      <c r="L94" s="797">
        <f>(L97-L87)/10*7+L87</f>
        <v>978.11559296623363</v>
      </c>
      <c r="M94" s="798">
        <f>(M97-M87)/10*7+M87</f>
        <v>1313.6448454072408</v>
      </c>
    </row>
    <row r="95" spans="1:13" hidden="1" x14ac:dyDescent="0.2">
      <c r="A95" s="793">
        <v>5.8</v>
      </c>
      <c r="B95" s="797">
        <v>48.283552860175398</v>
      </c>
      <c r="C95" s="798">
        <f t="shared" ref="C95:I95" si="53">(C97-C87)/10*8+C87</f>
        <v>64.123996612224602</v>
      </c>
      <c r="D95" s="797">
        <f t="shared" si="53"/>
        <v>93.228089773813963</v>
      </c>
      <c r="E95" s="798">
        <f t="shared" si="53"/>
        <v>150.84810596336581</v>
      </c>
      <c r="F95" s="797">
        <f t="shared" si="53"/>
        <v>223.73605070240637</v>
      </c>
      <c r="G95" s="798">
        <f t="shared" si="53"/>
        <v>284.68101381651945</v>
      </c>
      <c r="H95" s="797">
        <f t="shared" si="53"/>
        <v>399.64588084290534</v>
      </c>
      <c r="I95" s="798">
        <f t="shared" si="53"/>
        <v>482.6761349460931</v>
      </c>
      <c r="J95" s="797">
        <f>(J97-J87)/10*8+J87</f>
        <v>757.73059739124619</v>
      </c>
      <c r="K95" s="798">
        <f>(K97-K87)/10*8+K87</f>
        <v>882.91995252518598</v>
      </c>
      <c r="L95" s="797">
        <f>(L97-L87)/10*8+L87</f>
        <v>993.21921834944271</v>
      </c>
      <c r="M95" s="798">
        <f>(M97-M87)/10*8+M87</f>
        <v>1331.5526928706802</v>
      </c>
    </row>
    <row r="96" spans="1:13" hidden="1" x14ac:dyDescent="0.2">
      <c r="A96" s="793">
        <v>5.9</v>
      </c>
      <c r="B96" s="797">
        <v>49.049899285617876</v>
      </c>
      <c r="C96" s="798">
        <f t="shared" ref="C96:I96" si="54">(C97-C87)/10*9+C87</f>
        <v>65.069417129964165</v>
      </c>
      <c r="D96" s="797">
        <f t="shared" si="54"/>
        <v>94.369974342237015</v>
      </c>
      <c r="E96" s="798">
        <f t="shared" si="54"/>
        <v>153.35141977665069</v>
      </c>
      <c r="F96" s="797">
        <f t="shared" si="54"/>
        <v>226.13439772509992</v>
      </c>
      <c r="G96" s="798">
        <f t="shared" si="54"/>
        <v>287.71197898703934</v>
      </c>
      <c r="H96" s="797">
        <f t="shared" si="54"/>
        <v>405.79833891358487</v>
      </c>
      <c r="I96" s="798">
        <f t="shared" si="54"/>
        <v>489.22514457443924</v>
      </c>
      <c r="J96" s="797">
        <f>(J97-J87)/10*9+J87</f>
        <v>767.65990232667127</v>
      </c>
      <c r="K96" s="798">
        <f>(K97-K87)/10*9+K87</f>
        <v>893.56334791323502</v>
      </c>
      <c r="L96" s="797">
        <f>(L97-L87)/10*9+L87</f>
        <v>1008.3228437326518</v>
      </c>
      <c r="M96" s="798">
        <f>(M97-M87)/10*9+M87</f>
        <v>1349.4605403341193</v>
      </c>
    </row>
    <row r="97" spans="1:13" hidden="1" x14ac:dyDescent="0.2">
      <c r="A97" s="793">
        <v>6</v>
      </c>
      <c r="B97" s="797">
        <v>49.816245711060354</v>
      </c>
      <c r="C97" s="798">
        <v>66.014837647703743</v>
      </c>
      <c r="D97" s="797">
        <v>95.511858910660067</v>
      </c>
      <c r="E97" s="798">
        <v>155.85473358993553</v>
      </c>
      <c r="F97" s="797">
        <v>228.53274474779349</v>
      </c>
      <c r="G97" s="798">
        <v>290.74294415755924</v>
      </c>
      <c r="H97" s="797">
        <v>411.95079698426434</v>
      </c>
      <c r="I97" s="798">
        <v>495.77415420278533</v>
      </c>
      <c r="J97" s="797">
        <v>777.58920726209635</v>
      </c>
      <c r="K97" s="798">
        <v>904.20674330128395</v>
      </c>
      <c r="L97" s="797">
        <v>1023.426469115861</v>
      </c>
      <c r="M97" s="798">
        <v>1367.3683877975584</v>
      </c>
    </row>
    <row r="98" spans="1:13" hidden="1" x14ac:dyDescent="0.2">
      <c r="A98" s="793">
        <v>6.1</v>
      </c>
      <c r="B98" s="797">
        <v>50.656581383965353</v>
      </c>
      <c r="C98" s="798">
        <f t="shared" ref="C98:I98" si="55">(C107-C97)/10*1+C97</f>
        <v>67.00727878933121</v>
      </c>
      <c r="D98" s="797">
        <f t="shared" si="55"/>
        <v>96.731302113105869</v>
      </c>
      <c r="E98" s="798">
        <f t="shared" si="55"/>
        <v>158.32103067472607</v>
      </c>
      <c r="F98" s="797">
        <f t="shared" si="55"/>
        <v>230.57611763442978</v>
      </c>
      <c r="G98" s="798">
        <f t="shared" si="55"/>
        <v>294.18197142809169</v>
      </c>
      <c r="H98" s="797">
        <f t="shared" si="55"/>
        <v>417.07261924356891</v>
      </c>
      <c r="I98" s="798">
        <f t="shared" si="55"/>
        <v>503.38326151844763</v>
      </c>
      <c r="J98" s="797">
        <f>(J107-J97)/10*1+J97</f>
        <v>786.80660342750002</v>
      </c>
      <c r="K98" s="798">
        <f>(K107-K97)/10*1+K97</f>
        <v>913.42610531290359</v>
      </c>
      <c r="L98" s="797">
        <f>(L107-L97)/10*1+L97</f>
        <v>1035.2657495042974</v>
      </c>
      <c r="M98" s="798">
        <f>(M107-M97)/10*1+M97</f>
        <v>1380.8412101205038</v>
      </c>
    </row>
    <row r="99" spans="1:13" hidden="1" x14ac:dyDescent="0.2">
      <c r="A99" s="793">
        <v>6.2</v>
      </c>
      <c r="B99" s="797">
        <v>51.496917056870352</v>
      </c>
      <c r="C99" s="798">
        <f t="shared" ref="C99:I99" si="56">(C107-C97)/10*2+C97</f>
        <v>67.999719930958676</v>
      </c>
      <c r="D99" s="797">
        <f t="shared" si="56"/>
        <v>97.950745315551657</v>
      </c>
      <c r="E99" s="798">
        <f t="shared" si="56"/>
        <v>160.78732775951664</v>
      </c>
      <c r="F99" s="797">
        <f t="shared" si="56"/>
        <v>232.61949052106607</v>
      </c>
      <c r="G99" s="798">
        <f t="shared" si="56"/>
        <v>297.62099869862413</v>
      </c>
      <c r="H99" s="797">
        <f t="shared" si="56"/>
        <v>422.19444150287347</v>
      </c>
      <c r="I99" s="798">
        <f t="shared" si="56"/>
        <v>510.99236883410987</v>
      </c>
      <c r="J99" s="797">
        <f>(J107-J97)/10*2+J97</f>
        <v>796.02399959290369</v>
      </c>
      <c r="K99" s="798">
        <f>(K107-K97)/10*2+K97</f>
        <v>922.64546732452322</v>
      </c>
      <c r="L99" s="797">
        <f>(L107-L97)/10*2+L97</f>
        <v>1047.1050298927337</v>
      </c>
      <c r="M99" s="798">
        <f>(M107-M97)/10*2+M97</f>
        <v>1394.3140324434492</v>
      </c>
    </row>
    <row r="100" spans="1:13" hidden="1" x14ac:dyDescent="0.2">
      <c r="A100" s="793">
        <v>6.3</v>
      </c>
      <c r="B100" s="797">
        <v>52.337252729775344</v>
      </c>
      <c r="C100" s="798">
        <f t="shared" ref="C100:I100" si="57">(C107-C97)/10*3+C97</f>
        <v>68.992161072586143</v>
      </c>
      <c r="D100" s="797">
        <f t="shared" si="57"/>
        <v>99.17018851799746</v>
      </c>
      <c r="E100" s="798">
        <f t="shared" si="57"/>
        <v>163.25362484430718</v>
      </c>
      <c r="F100" s="797">
        <f t="shared" si="57"/>
        <v>234.66286340770239</v>
      </c>
      <c r="G100" s="798">
        <f t="shared" si="57"/>
        <v>301.06002596915653</v>
      </c>
      <c r="H100" s="797">
        <f t="shared" si="57"/>
        <v>427.3162637621781</v>
      </c>
      <c r="I100" s="798">
        <f t="shared" si="57"/>
        <v>518.60147614977211</v>
      </c>
      <c r="J100" s="797">
        <f>(J107-J97)/10*3+J97</f>
        <v>805.24139575830736</v>
      </c>
      <c r="K100" s="798">
        <f>(K107-K97)/10*3+K97</f>
        <v>931.86482933614275</v>
      </c>
      <c r="L100" s="797">
        <f>(L107-L97)/10*3+L97</f>
        <v>1058.9443102811701</v>
      </c>
      <c r="M100" s="798">
        <f>(M107-M97)/10*3+M97</f>
        <v>1407.7868547663945</v>
      </c>
    </row>
    <row r="101" spans="1:13" hidden="1" x14ac:dyDescent="0.2">
      <c r="A101" s="793">
        <v>6.4</v>
      </c>
      <c r="B101" s="797">
        <v>53.177588402680342</v>
      </c>
      <c r="C101" s="798">
        <f t="shared" ref="C101:I101" si="58">(C107-C97)/10*4+C97</f>
        <v>69.984602214213609</v>
      </c>
      <c r="D101" s="797">
        <f t="shared" si="58"/>
        <v>100.38963172044326</v>
      </c>
      <c r="E101" s="798">
        <f t="shared" si="58"/>
        <v>165.71992192909775</v>
      </c>
      <c r="F101" s="797">
        <f t="shared" si="58"/>
        <v>236.70623629433868</v>
      </c>
      <c r="G101" s="798">
        <f t="shared" si="58"/>
        <v>304.49905323968898</v>
      </c>
      <c r="H101" s="797">
        <f t="shared" si="58"/>
        <v>432.43808602148266</v>
      </c>
      <c r="I101" s="798">
        <f t="shared" si="58"/>
        <v>526.21058346543441</v>
      </c>
      <c r="J101" s="797">
        <f>(J107-J97)/10*4+J97</f>
        <v>814.45879192371103</v>
      </c>
      <c r="K101" s="798">
        <f>(K107-K97)/10*4+K97</f>
        <v>941.08419134776238</v>
      </c>
      <c r="L101" s="797">
        <f>(L107-L97)/10*4+L97</f>
        <v>1070.7835906696066</v>
      </c>
      <c r="M101" s="798">
        <f>(M107-M97)/10*4+M97</f>
        <v>1421.2596770893399</v>
      </c>
    </row>
    <row r="102" spans="1:13" hidden="1" x14ac:dyDescent="0.2">
      <c r="A102" s="793">
        <v>6.5</v>
      </c>
      <c r="B102" s="797">
        <v>54.017924075585341</v>
      </c>
      <c r="C102" s="798">
        <f t="shared" ref="C102:I102" si="59">(C107-C97)/10*5+C97</f>
        <v>70.977043355841062</v>
      </c>
      <c r="D102" s="797">
        <f t="shared" si="59"/>
        <v>101.60907492288905</v>
      </c>
      <c r="E102" s="798">
        <f t="shared" si="59"/>
        <v>168.18621901388829</v>
      </c>
      <c r="F102" s="797">
        <f t="shared" si="59"/>
        <v>238.74960918097497</v>
      </c>
      <c r="G102" s="798">
        <f t="shared" si="59"/>
        <v>307.93808051022143</v>
      </c>
      <c r="H102" s="797">
        <f t="shared" si="59"/>
        <v>437.55990828078723</v>
      </c>
      <c r="I102" s="798">
        <f t="shared" si="59"/>
        <v>533.81969078109671</v>
      </c>
      <c r="J102" s="797">
        <f>(J107-J97)/10*5+J97</f>
        <v>823.6761880891147</v>
      </c>
      <c r="K102" s="798">
        <f>(K107-K97)/10*5+K97</f>
        <v>950.30355335938202</v>
      </c>
      <c r="L102" s="797">
        <f>(L107-L97)/10*5+L97</f>
        <v>1082.6228710580431</v>
      </c>
      <c r="M102" s="798">
        <f>(M107-M97)/10*5+M97</f>
        <v>1434.7324994122853</v>
      </c>
    </row>
    <row r="103" spans="1:13" hidden="1" x14ac:dyDescent="0.2">
      <c r="A103" s="793">
        <v>6.6</v>
      </c>
      <c r="B103" s="797">
        <v>54.85825974849034</v>
      </c>
      <c r="C103" s="798">
        <f t="shared" ref="C103:I103" si="60">(C107-C97)/10*6+C97</f>
        <v>71.969484497468528</v>
      </c>
      <c r="D103" s="797">
        <f t="shared" si="60"/>
        <v>102.82851812533485</v>
      </c>
      <c r="E103" s="798">
        <f t="shared" si="60"/>
        <v>170.65251609867883</v>
      </c>
      <c r="F103" s="797">
        <f t="shared" si="60"/>
        <v>240.79298206761126</v>
      </c>
      <c r="G103" s="798">
        <f t="shared" si="60"/>
        <v>311.37710778075387</v>
      </c>
      <c r="H103" s="797">
        <f t="shared" si="60"/>
        <v>442.68173054009179</v>
      </c>
      <c r="I103" s="798">
        <f t="shared" si="60"/>
        <v>541.42879809675901</v>
      </c>
      <c r="J103" s="797">
        <f>(J107-J97)/10*6+J97</f>
        <v>832.89358425451849</v>
      </c>
      <c r="K103" s="798">
        <f>(K107-K97)/10*6+K97</f>
        <v>959.52291537100166</v>
      </c>
      <c r="L103" s="797">
        <f>(L107-L97)/10*6+L97</f>
        <v>1094.4621514464793</v>
      </c>
      <c r="M103" s="798">
        <f>(M107-M97)/10*6+M97</f>
        <v>1448.2053217352307</v>
      </c>
    </row>
    <row r="104" spans="1:13" hidden="1" x14ac:dyDescent="0.2">
      <c r="A104" s="793">
        <v>6.7</v>
      </c>
      <c r="B104" s="797">
        <v>55.698595421395339</v>
      </c>
      <c r="C104" s="798">
        <f t="shared" ref="C104:I104" si="61">(C107-C97)/10*7+C97</f>
        <v>72.961925639095995</v>
      </c>
      <c r="D104" s="797">
        <f t="shared" si="61"/>
        <v>104.04796132778065</v>
      </c>
      <c r="E104" s="798">
        <f t="shared" si="61"/>
        <v>173.1188131834694</v>
      </c>
      <c r="F104" s="797">
        <f t="shared" si="61"/>
        <v>242.83635495424755</v>
      </c>
      <c r="G104" s="798">
        <f t="shared" si="61"/>
        <v>314.81613505128632</v>
      </c>
      <c r="H104" s="797">
        <f t="shared" si="61"/>
        <v>447.80355279939636</v>
      </c>
      <c r="I104" s="798">
        <f t="shared" si="61"/>
        <v>549.03790541242131</v>
      </c>
      <c r="J104" s="797">
        <f>(J107-J97)/10*7+J97</f>
        <v>842.11098041992216</v>
      </c>
      <c r="K104" s="798">
        <f>(K107-K97)/10*7+K97</f>
        <v>968.7422773826213</v>
      </c>
      <c r="L104" s="797">
        <f>(L107-L97)/10*7+L97</f>
        <v>1106.3014318349158</v>
      </c>
      <c r="M104" s="798">
        <f>(M107-M97)/10*7+M97</f>
        <v>1461.678144058176</v>
      </c>
    </row>
    <row r="105" spans="1:13" hidden="1" x14ac:dyDescent="0.2">
      <c r="A105" s="793">
        <v>6.8</v>
      </c>
      <c r="B105" s="797">
        <v>56.538931094300331</v>
      </c>
      <c r="C105" s="798">
        <f t="shared" ref="C105:I105" si="62">(C107-C97)/10*8+C97</f>
        <v>73.954366780723461</v>
      </c>
      <c r="D105" s="797">
        <f t="shared" si="62"/>
        <v>105.26740453022646</v>
      </c>
      <c r="E105" s="798">
        <f t="shared" si="62"/>
        <v>175.58511026825994</v>
      </c>
      <c r="F105" s="797">
        <f t="shared" si="62"/>
        <v>244.87972784088387</v>
      </c>
      <c r="G105" s="798">
        <f t="shared" si="62"/>
        <v>318.25516232181872</v>
      </c>
      <c r="H105" s="797">
        <f t="shared" si="62"/>
        <v>452.92537505870098</v>
      </c>
      <c r="I105" s="798">
        <f t="shared" si="62"/>
        <v>556.6470127280835</v>
      </c>
      <c r="J105" s="797">
        <f>(J107-J97)/10*8+J97</f>
        <v>851.32837658532583</v>
      </c>
      <c r="K105" s="798">
        <f>(K107-K97)/10*8+K97</f>
        <v>977.96163939424082</v>
      </c>
      <c r="L105" s="797">
        <f>(L107-L97)/10*8+L97</f>
        <v>1118.1407122233522</v>
      </c>
      <c r="M105" s="798">
        <f>(M107-M97)/10*8+M97</f>
        <v>1475.1509663811214</v>
      </c>
    </row>
    <row r="106" spans="1:13" hidden="1" x14ac:dyDescent="0.2">
      <c r="A106" s="793">
        <v>6.9</v>
      </c>
      <c r="B106" s="797">
        <v>57.37926676720533</v>
      </c>
      <c r="C106" s="798">
        <f t="shared" ref="C106:I106" si="63">(C107-C97)/10*9+C97</f>
        <v>74.946807922350928</v>
      </c>
      <c r="D106" s="797">
        <f t="shared" si="63"/>
        <v>106.48684773267225</v>
      </c>
      <c r="E106" s="798">
        <f t="shared" si="63"/>
        <v>178.05140735305051</v>
      </c>
      <c r="F106" s="797">
        <f t="shared" si="63"/>
        <v>246.92310072752016</v>
      </c>
      <c r="G106" s="798">
        <f t="shared" si="63"/>
        <v>321.69418959235117</v>
      </c>
      <c r="H106" s="797">
        <f t="shared" si="63"/>
        <v>458.04719731800554</v>
      </c>
      <c r="I106" s="798">
        <f t="shared" si="63"/>
        <v>564.2561200437458</v>
      </c>
      <c r="J106" s="797">
        <f>(J107-J97)/10*9+J97</f>
        <v>860.5457727507295</v>
      </c>
      <c r="K106" s="798">
        <f>(K107-K97)/10*9+K97</f>
        <v>987.18100140586046</v>
      </c>
      <c r="L106" s="797">
        <f>(L107-L97)/10*9+L97</f>
        <v>1129.9799926117885</v>
      </c>
      <c r="M106" s="798">
        <f>(M107-M97)/10*9+M97</f>
        <v>1488.6237887040668</v>
      </c>
    </row>
    <row r="107" spans="1:13" hidden="1" x14ac:dyDescent="0.2">
      <c r="A107" s="793">
        <v>7</v>
      </c>
      <c r="B107" s="797">
        <v>58.219602440110329</v>
      </c>
      <c r="C107" s="798">
        <v>75.939249063978394</v>
      </c>
      <c r="D107" s="797">
        <v>107.70629093511805</v>
      </c>
      <c r="E107" s="798">
        <v>180.51770443784105</v>
      </c>
      <c r="F107" s="797">
        <v>248.96647361415646</v>
      </c>
      <c r="G107" s="798">
        <v>325.13321686288361</v>
      </c>
      <c r="H107" s="797">
        <v>463.16901957731011</v>
      </c>
      <c r="I107" s="798">
        <v>571.8652273594081</v>
      </c>
      <c r="J107" s="797">
        <v>869.76316891613317</v>
      </c>
      <c r="K107" s="798">
        <v>996.40036341748009</v>
      </c>
      <c r="L107" s="797">
        <v>1141.8192730002249</v>
      </c>
      <c r="M107" s="798">
        <v>1502.0966110270122</v>
      </c>
    </row>
    <row r="108" spans="1:13" hidden="1" x14ac:dyDescent="0.2">
      <c r="A108" s="793">
        <v>7.1</v>
      </c>
      <c r="B108" s="797">
        <v>58.809031939537014</v>
      </c>
      <c r="C108" s="798">
        <f t="shared" ref="C108:I108" si="64">(C117-C107)/10*1+C107</f>
        <v>76.886133676859089</v>
      </c>
      <c r="D108" s="797">
        <f t="shared" si="64"/>
        <v>108.86307737745292</v>
      </c>
      <c r="E108" s="798">
        <f t="shared" si="64"/>
        <v>182.71639151825931</v>
      </c>
      <c r="F108" s="797">
        <f t="shared" si="64"/>
        <v>250.38248332831051</v>
      </c>
      <c r="G108" s="798">
        <f t="shared" si="64"/>
        <v>329.07569286668826</v>
      </c>
      <c r="H108" s="797">
        <f t="shared" si="64"/>
        <v>466.17807764541965</v>
      </c>
      <c r="I108" s="798">
        <f t="shared" si="64"/>
        <v>578.69144953955674</v>
      </c>
      <c r="J108" s="797">
        <f>(J117-J107)/10*1+J107</f>
        <v>878.17811058361599</v>
      </c>
      <c r="K108" s="798">
        <f>(K117-K107)/10*1+K107</f>
        <v>1004.7412383826354</v>
      </c>
      <c r="L108" s="797">
        <f>(L117-L107)/10*1+L107</f>
        <v>1155.5018306314973</v>
      </c>
      <c r="M108" s="798">
        <f>(M117-M107)/10*1+M107</f>
        <v>1512.7934353709682</v>
      </c>
    </row>
    <row r="109" spans="1:13" hidden="1" x14ac:dyDescent="0.2">
      <c r="A109" s="793">
        <v>7.2</v>
      </c>
      <c r="B109" s="797">
        <v>59.398461438963693</v>
      </c>
      <c r="C109" s="798">
        <f t="shared" ref="C109:I109" si="65">(C117-C107)/10*2+C107</f>
        <v>77.833018289739769</v>
      </c>
      <c r="D109" s="797">
        <f t="shared" si="65"/>
        <v>110.01986381978782</v>
      </c>
      <c r="E109" s="798">
        <f t="shared" si="65"/>
        <v>184.91507859867758</v>
      </c>
      <c r="F109" s="797">
        <f t="shared" si="65"/>
        <v>251.79849304246454</v>
      </c>
      <c r="G109" s="798">
        <f t="shared" si="65"/>
        <v>333.0181688704929</v>
      </c>
      <c r="H109" s="797">
        <f t="shared" si="65"/>
        <v>469.18713571352913</v>
      </c>
      <c r="I109" s="798">
        <f t="shared" si="65"/>
        <v>585.51767171970539</v>
      </c>
      <c r="J109" s="797">
        <f>(J117-J107)/10*2+J107</f>
        <v>886.59305225109881</v>
      </c>
      <c r="K109" s="798">
        <f>(K117-K107)/10*2+K107</f>
        <v>1013.0821133477907</v>
      </c>
      <c r="L109" s="797">
        <f>(L117-L107)/10*2+L107</f>
        <v>1169.1843882627697</v>
      </c>
      <c r="M109" s="798">
        <f>(M117-M107)/10*2+M107</f>
        <v>1523.4902597149239</v>
      </c>
    </row>
    <row r="110" spans="1:13" hidden="1" x14ac:dyDescent="0.2">
      <c r="A110" s="793">
        <v>7.3</v>
      </c>
      <c r="B110" s="797">
        <v>59.987890938390379</v>
      </c>
      <c r="C110" s="798">
        <f t="shared" ref="C110:I110" si="66">(C117-C107)/10*3+C107</f>
        <v>78.779902902620464</v>
      </c>
      <c r="D110" s="797">
        <f t="shared" si="66"/>
        <v>111.17665026212269</v>
      </c>
      <c r="E110" s="798">
        <f t="shared" si="66"/>
        <v>187.11376567909585</v>
      </c>
      <c r="F110" s="797">
        <f t="shared" si="66"/>
        <v>253.2145027566186</v>
      </c>
      <c r="G110" s="798">
        <f t="shared" si="66"/>
        <v>336.9606448742976</v>
      </c>
      <c r="H110" s="797">
        <f t="shared" si="66"/>
        <v>472.19619378163867</v>
      </c>
      <c r="I110" s="798">
        <f t="shared" si="66"/>
        <v>592.34389389985404</v>
      </c>
      <c r="J110" s="797">
        <f>(J117-J107)/10*3+J107</f>
        <v>895.00799391858152</v>
      </c>
      <c r="K110" s="798">
        <f>(K117-K107)/10*3+K107</f>
        <v>1021.4229883129459</v>
      </c>
      <c r="L110" s="797">
        <f>(L117-L107)/10*3+L107</f>
        <v>1182.8669458940421</v>
      </c>
      <c r="M110" s="798">
        <f>(M117-M107)/10*3+M107</f>
        <v>1534.1870840588799</v>
      </c>
    </row>
    <row r="111" spans="1:13" hidden="1" x14ac:dyDescent="0.2">
      <c r="A111" s="793">
        <v>7.4</v>
      </c>
      <c r="B111" s="797">
        <v>60.577320437817065</v>
      </c>
      <c r="C111" s="798">
        <f t="shared" ref="C111:I111" si="67">(C117-C107)/10*4+C107</f>
        <v>79.726787515501158</v>
      </c>
      <c r="D111" s="797">
        <f t="shared" si="67"/>
        <v>112.33343670445758</v>
      </c>
      <c r="E111" s="798">
        <f t="shared" si="67"/>
        <v>189.31245275951412</v>
      </c>
      <c r="F111" s="797">
        <f t="shared" si="67"/>
        <v>254.63051247077266</v>
      </c>
      <c r="G111" s="798">
        <f t="shared" si="67"/>
        <v>340.90312087810224</v>
      </c>
      <c r="H111" s="797">
        <f t="shared" si="67"/>
        <v>475.20525184974815</v>
      </c>
      <c r="I111" s="798">
        <f t="shared" si="67"/>
        <v>599.17011608000269</v>
      </c>
      <c r="J111" s="797">
        <f>(J117-J107)/10*4+J107</f>
        <v>903.42293558606434</v>
      </c>
      <c r="K111" s="798">
        <f>(K117-K107)/10*4+K107</f>
        <v>1029.7638632781013</v>
      </c>
      <c r="L111" s="797">
        <f>(L117-L107)/10*4+L107</f>
        <v>1196.5495035253145</v>
      </c>
      <c r="M111" s="798">
        <f>(M117-M107)/10*4+M107</f>
        <v>1544.8839084028357</v>
      </c>
    </row>
    <row r="112" spans="1:13" hidden="1" x14ac:dyDescent="0.2">
      <c r="A112" s="793">
        <v>7.5</v>
      </c>
      <c r="B112" s="797">
        <v>61.16674993724375</v>
      </c>
      <c r="C112" s="798">
        <f t="shared" ref="C112:I112" si="68">(C117-C107)/10*5+C107</f>
        <v>80.673672128381838</v>
      </c>
      <c r="D112" s="797">
        <f t="shared" si="68"/>
        <v>113.49022314679246</v>
      </c>
      <c r="E112" s="798">
        <f t="shared" si="68"/>
        <v>191.51113983993241</v>
      </c>
      <c r="F112" s="797">
        <f t="shared" si="68"/>
        <v>256.04652218492669</v>
      </c>
      <c r="G112" s="798">
        <f t="shared" si="68"/>
        <v>344.84559688190689</v>
      </c>
      <c r="H112" s="797">
        <f t="shared" si="68"/>
        <v>478.21430991785769</v>
      </c>
      <c r="I112" s="798">
        <f t="shared" si="68"/>
        <v>605.99633826015133</v>
      </c>
      <c r="J112" s="797">
        <f>(J117-J107)/10*5+J107</f>
        <v>911.83787725354716</v>
      </c>
      <c r="K112" s="798">
        <f>(K117-K107)/10*5+K107</f>
        <v>1038.1047382432566</v>
      </c>
      <c r="L112" s="797">
        <f>(L117-L107)/10*5+L107</f>
        <v>1210.232061156587</v>
      </c>
      <c r="M112" s="798">
        <f>(M117-M107)/10*5+M107</f>
        <v>1555.5807327467917</v>
      </c>
    </row>
    <row r="113" spans="1:13" hidden="1" x14ac:dyDescent="0.2">
      <c r="A113" s="793">
        <v>7.6</v>
      </c>
      <c r="B113" s="797">
        <v>61.756179436670429</v>
      </c>
      <c r="C113" s="798">
        <f t="shared" ref="C113:I113" si="69">(C117-C107)/10*6+C107</f>
        <v>81.620556741262533</v>
      </c>
      <c r="D113" s="797">
        <f t="shared" si="69"/>
        <v>114.64700958912734</v>
      </c>
      <c r="E113" s="798">
        <f t="shared" si="69"/>
        <v>193.70982692035068</v>
      </c>
      <c r="F113" s="797">
        <f t="shared" si="69"/>
        <v>257.46253189908077</v>
      </c>
      <c r="G113" s="798">
        <f t="shared" si="69"/>
        <v>348.78807288571153</v>
      </c>
      <c r="H113" s="797">
        <f t="shared" si="69"/>
        <v>481.22336798596723</v>
      </c>
      <c r="I113" s="798">
        <f t="shared" si="69"/>
        <v>612.82256044029987</v>
      </c>
      <c r="J113" s="797">
        <f>(J117-J107)/10*6+J107</f>
        <v>920.25281892102998</v>
      </c>
      <c r="K113" s="798">
        <f>(K117-K107)/10*6+K107</f>
        <v>1046.4456132084117</v>
      </c>
      <c r="L113" s="797">
        <f>(L117-L107)/10*6+L107</f>
        <v>1223.9146187878596</v>
      </c>
      <c r="M113" s="798">
        <f>(M117-M107)/10*6+M107</f>
        <v>1566.2775570907477</v>
      </c>
    </row>
    <row r="114" spans="1:13" hidden="1" x14ac:dyDescent="0.2">
      <c r="A114" s="793">
        <v>7.7</v>
      </c>
      <c r="B114" s="797">
        <v>62.345608936097115</v>
      </c>
      <c r="C114" s="798">
        <f t="shared" ref="C114:I114" si="70">(C117-C107)/10*7+C107</f>
        <v>82.567441354143227</v>
      </c>
      <c r="D114" s="797">
        <f t="shared" si="70"/>
        <v>115.80379603146223</v>
      </c>
      <c r="E114" s="798">
        <f t="shared" si="70"/>
        <v>195.90851400076895</v>
      </c>
      <c r="F114" s="797">
        <f t="shared" si="70"/>
        <v>258.8785416132348</v>
      </c>
      <c r="G114" s="798">
        <f t="shared" si="70"/>
        <v>352.73054888951617</v>
      </c>
      <c r="H114" s="797">
        <f t="shared" si="70"/>
        <v>484.23242605407671</v>
      </c>
      <c r="I114" s="798">
        <f t="shared" si="70"/>
        <v>619.64878262044851</v>
      </c>
      <c r="J114" s="797">
        <f>(J117-J107)/10*7+J107</f>
        <v>928.66776058851281</v>
      </c>
      <c r="K114" s="798">
        <f>(K117-K107)/10*7+K107</f>
        <v>1054.786488173567</v>
      </c>
      <c r="L114" s="797">
        <f>(L117-L107)/10*7+L107</f>
        <v>1237.597176419132</v>
      </c>
      <c r="M114" s="798">
        <f>(M117-M107)/10*7+M107</f>
        <v>1576.9743814347034</v>
      </c>
    </row>
    <row r="115" spans="1:13" hidden="1" x14ac:dyDescent="0.2">
      <c r="A115" s="793">
        <v>7.8</v>
      </c>
      <c r="B115" s="797">
        <v>62.935038435523801</v>
      </c>
      <c r="C115" s="798">
        <f t="shared" ref="C115:I115" si="71">(C117-C107)/10*8+C107</f>
        <v>83.514325967023922</v>
      </c>
      <c r="D115" s="797">
        <f t="shared" si="71"/>
        <v>116.9605824737971</v>
      </c>
      <c r="E115" s="798">
        <f t="shared" si="71"/>
        <v>198.10720108118721</v>
      </c>
      <c r="F115" s="797">
        <f t="shared" si="71"/>
        <v>260.29455132738883</v>
      </c>
      <c r="G115" s="798">
        <f t="shared" si="71"/>
        <v>356.67302489332087</v>
      </c>
      <c r="H115" s="797">
        <f t="shared" si="71"/>
        <v>487.24148412218625</v>
      </c>
      <c r="I115" s="798">
        <f t="shared" si="71"/>
        <v>626.47500480059716</v>
      </c>
      <c r="J115" s="797">
        <f>(J117-J107)/10*8+J107</f>
        <v>937.08270225599551</v>
      </c>
      <c r="K115" s="798">
        <f>(K117-K107)/10*8+K107</f>
        <v>1063.1273631387223</v>
      </c>
      <c r="L115" s="797">
        <f>(L117-L107)/10*8+L107</f>
        <v>1251.2797340504044</v>
      </c>
      <c r="M115" s="798">
        <f>(M117-M107)/10*8+M107</f>
        <v>1587.6712057786594</v>
      </c>
    </row>
    <row r="116" spans="1:13" hidden="1" x14ac:dyDescent="0.2">
      <c r="A116" s="793">
        <v>7.9</v>
      </c>
      <c r="B116" s="797">
        <v>63.524467934950479</v>
      </c>
      <c r="C116" s="798">
        <f t="shared" ref="C116:I116" si="72">(C117-C107)/10*9+C107</f>
        <v>84.461210579904602</v>
      </c>
      <c r="D116" s="797">
        <f t="shared" si="72"/>
        <v>118.11736891613199</v>
      </c>
      <c r="E116" s="798">
        <f t="shared" si="72"/>
        <v>200.30588816160548</v>
      </c>
      <c r="F116" s="797">
        <f t="shared" si="72"/>
        <v>261.71056104154292</v>
      </c>
      <c r="G116" s="798">
        <f t="shared" si="72"/>
        <v>360.61550089712551</v>
      </c>
      <c r="H116" s="797">
        <f t="shared" si="72"/>
        <v>490.25054219029573</v>
      </c>
      <c r="I116" s="798">
        <f t="shared" si="72"/>
        <v>633.30122698074581</v>
      </c>
      <c r="J116" s="797">
        <f>(J117-J107)/10*9+J107</f>
        <v>945.49764392347834</v>
      </c>
      <c r="K116" s="798">
        <f>(K117-K107)/10*9+K107</f>
        <v>1071.4682381038776</v>
      </c>
      <c r="L116" s="797">
        <f>(L117-L107)/10*9+L107</f>
        <v>1264.9622916816768</v>
      </c>
      <c r="M116" s="798">
        <f>(M117-M107)/10*9+M107</f>
        <v>1598.3680301226152</v>
      </c>
    </row>
    <row r="117" spans="1:13" hidden="1" x14ac:dyDescent="0.2">
      <c r="A117" s="793">
        <v>8</v>
      </c>
      <c r="B117" s="797">
        <v>64.113897434377165</v>
      </c>
      <c r="C117" s="798">
        <v>85.408095192785296</v>
      </c>
      <c r="D117" s="797">
        <v>119.27415535846687</v>
      </c>
      <c r="E117" s="798">
        <v>202.50457524202375</v>
      </c>
      <c r="F117" s="797">
        <v>263.12657075569695</v>
      </c>
      <c r="G117" s="798">
        <v>364.55797690093016</v>
      </c>
      <c r="H117" s="797">
        <v>493.25960025840527</v>
      </c>
      <c r="I117" s="798">
        <v>640.12744916089446</v>
      </c>
      <c r="J117" s="797">
        <v>953.91258559096116</v>
      </c>
      <c r="K117" s="798">
        <v>1079.8091130690329</v>
      </c>
      <c r="L117" s="797">
        <v>1278.6448493129492</v>
      </c>
      <c r="M117" s="798">
        <v>1609.0648544665712</v>
      </c>
    </row>
    <row r="118" spans="1:13" hidden="1" x14ac:dyDescent="0.2">
      <c r="A118" s="793">
        <v>8.1</v>
      </c>
      <c r="D118" s="482"/>
      <c r="G118" s="798">
        <f t="shared" ref="G118:I118" si="73">(G127-G117)/10*1+G117</f>
        <v>368.57171290732475</v>
      </c>
      <c r="H118" s="797">
        <f t="shared" si="73"/>
        <v>497.04640091187844</v>
      </c>
      <c r="I118" s="798">
        <f t="shared" si="73"/>
        <v>646.67952230956814</v>
      </c>
      <c r="J118" s="797">
        <f>(J127-J117)/10*1+J117</f>
        <v>959.0790576994375</v>
      </c>
      <c r="K118" s="798">
        <f>(K127-K117)/10*1+K117</f>
        <v>1083.8874084598876</v>
      </c>
      <c r="L118" s="797">
        <f>(L127-L117)/10*1+L117</f>
        <v>1284.3629323427117</v>
      </c>
      <c r="M118" s="798">
        <f>(M127-M117)/10*1+M117</f>
        <v>1618.276460840887</v>
      </c>
    </row>
    <row r="119" spans="1:13" hidden="1" x14ac:dyDescent="0.2">
      <c r="A119" s="793">
        <v>8.1999999999999993</v>
      </c>
      <c r="D119" s="482"/>
      <c r="G119" s="798">
        <f t="shared" ref="G119:I119" si="74">(G127-G117)/10*2+G117</f>
        <v>372.5854489137194</v>
      </c>
      <c r="H119" s="797">
        <f t="shared" si="74"/>
        <v>500.83320156535154</v>
      </c>
      <c r="I119" s="798">
        <f t="shared" si="74"/>
        <v>653.23159545824183</v>
      </c>
      <c r="J119" s="797">
        <f>(J127-J117)/10*2+J117</f>
        <v>964.24552980791384</v>
      </c>
      <c r="K119" s="798">
        <f>(K127-K117)/10*2+K117</f>
        <v>1087.9657038507423</v>
      </c>
      <c r="L119" s="797">
        <f>(L127-L117)/10*2+L117</f>
        <v>1290.0810153724744</v>
      </c>
      <c r="M119" s="798">
        <f>(M127-M117)/10*2+M117</f>
        <v>1627.4880672152026</v>
      </c>
    </row>
    <row r="120" spans="1:13" hidden="1" x14ac:dyDescent="0.2">
      <c r="A120" s="793">
        <v>8.3000000000000007</v>
      </c>
      <c r="D120" s="482"/>
      <c r="G120" s="798">
        <f t="shared" ref="G120:I120" si="75">(G127-G117)/10*3+G117</f>
        <v>376.599184920114</v>
      </c>
      <c r="H120" s="797">
        <f t="shared" si="75"/>
        <v>504.62000221882471</v>
      </c>
      <c r="I120" s="798">
        <f t="shared" si="75"/>
        <v>659.7836686069154</v>
      </c>
      <c r="J120" s="797">
        <f>(J127-J117)/10*3+J117</f>
        <v>969.41200191639007</v>
      </c>
      <c r="K120" s="798">
        <f>(K127-K117)/10*3+K117</f>
        <v>1092.043999241597</v>
      </c>
      <c r="L120" s="797">
        <f>(L127-L117)/10*3+L117</f>
        <v>1295.799098402237</v>
      </c>
      <c r="M120" s="798">
        <f>(M127-M117)/10*3+M117</f>
        <v>1636.6996735895184</v>
      </c>
    </row>
    <row r="121" spans="1:13" hidden="1" x14ac:dyDescent="0.2">
      <c r="A121" s="793">
        <v>8.4</v>
      </c>
      <c r="D121" s="482"/>
      <c r="G121" s="798">
        <f t="shared" ref="G121:I121" si="76">(G127-G117)/10*4+G117</f>
        <v>380.61292092650865</v>
      </c>
      <c r="H121" s="797">
        <f t="shared" si="76"/>
        <v>508.40680287229782</v>
      </c>
      <c r="I121" s="798">
        <f t="shared" si="76"/>
        <v>666.33574175558908</v>
      </c>
      <c r="J121" s="797">
        <f>(J127-J117)/10*4+J117</f>
        <v>974.57847402486641</v>
      </c>
      <c r="K121" s="798">
        <f>(K127-K117)/10*4+K117</f>
        <v>1096.1222946324517</v>
      </c>
      <c r="L121" s="797">
        <f>(L127-L117)/10*4+L117</f>
        <v>1301.5171814319997</v>
      </c>
      <c r="M121" s="798">
        <f>(M127-M117)/10*4+M117</f>
        <v>1645.911279963834</v>
      </c>
    </row>
    <row r="122" spans="1:13" hidden="1" x14ac:dyDescent="0.2">
      <c r="A122" s="793">
        <v>8.5</v>
      </c>
      <c r="D122" s="482"/>
      <c r="G122" s="798">
        <f t="shared" ref="G122:I122" si="77">(G127-G117)/10*5+G117</f>
        <v>384.62665693290324</v>
      </c>
      <c r="H122" s="797">
        <f t="shared" si="77"/>
        <v>512.19360352577098</v>
      </c>
      <c r="I122" s="798">
        <f t="shared" si="77"/>
        <v>672.88781490426277</v>
      </c>
      <c r="J122" s="797">
        <f>(J127-J117)/10*5+J117</f>
        <v>979.74494613334275</v>
      </c>
      <c r="K122" s="798">
        <f>(K127-K117)/10*5+K117</f>
        <v>1100.2005900233066</v>
      </c>
      <c r="L122" s="797">
        <f>(L127-L117)/10*5+L117</f>
        <v>1307.2352644617622</v>
      </c>
      <c r="M122" s="798">
        <f>(M127-M117)/10*5+M117</f>
        <v>1655.1228863381498</v>
      </c>
    </row>
    <row r="123" spans="1:13" hidden="1" x14ac:dyDescent="0.2">
      <c r="A123" s="793">
        <v>8.6</v>
      </c>
      <c r="D123" s="482"/>
      <c r="G123" s="798">
        <f t="shared" ref="G123:I123" si="78">(G127-G117)/10*6+G117</f>
        <v>388.64039293929784</v>
      </c>
      <c r="H123" s="797">
        <f t="shared" si="78"/>
        <v>515.98040417924415</v>
      </c>
      <c r="I123" s="798">
        <f t="shared" si="78"/>
        <v>679.43988805293645</v>
      </c>
      <c r="J123" s="797">
        <f>(J127-J117)/10*6+J117</f>
        <v>984.91141824181909</v>
      </c>
      <c r="K123" s="798">
        <f>(K127-K117)/10*6+K117</f>
        <v>1104.2788854141613</v>
      </c>
      <c r="L123" s="797">
        <f>(L127-L117)/10*6+L117</f>
        <v>1312.9533474915247</v>
      </c>
      <c r="M123" s="798">
        <f>(M127-M117)/10*6+M117</f>
        <v>1664.3344927124656</v>
      </c>
    </row>
    <row r="124" spans="1:13" hidden="1" x14ac:dyDescent="0.2">
      <c r="A124" s="793">
        <v>8.6999999999999993</v>
      </c>
      <c r="D124" s="482"/>
      <c r="G124" s="798">
        <f t="shared" ref="G124:I124" si="79">(G127-G117)/10*7+G117</f>
        <v>392.65412894569249</v>
      </c>
      <c r="H124" s="797">
        <f t="shared" si="79"/>
        <v>519.76720483271731</v>
      </c>
      <c r="I124" s="798">
        <f t="shared" si="79"/>
        <v>685.99196120161014</v>
      </c>
      <c r="J124" s="797">
        <f>(J127-J117)/10*7+J117</f>
        <v>990.07789035029543</v>
      </c>
      <c r="K124" s="798">
        <f>(K127-K117)/10*7+K117</f>
        <v>1108.357180805016</v>
      </c>
      <c r="L124" s="797">
        <f>(L127-L117)/10*7+L117</f>
        <v>1318.6714305212874</v>
      </c>
      <c r="M124" s="798">
        <f>(M127-M117)/10*7+M117</f>
        <v>1673.5460990867812</v>
      </c>
    </row>
    <row r="125" spans="1:13" hidden="1" x14ac:dyDescent="0.2">
      <c r="A125" s="793">
        <v>8.8000000000000007</v>
      </c>
      <c r="D125" s="482"/>
      <c r="G125" s="798">
        <f t="shared" ref="G125:I125" si="80">(G127-G117)/10*8+G117</f>
        <v>396.66786495208709</v>
      </c>
      <c r="H125" s="797">
        <f t="shared" si="80"/>
        <v>523.55400548619036</v>
      </c>
      <c r="I125" s="798">
        <f t="shared" si="80"/>
        <v>692.54403435028371</v>
      </c>
      <c r="J125" s="797">
        <f>(J127-J117)/10*8+J117</f>
        <v>995.24436245877166</v>
      </c>
      <c r="K125" s="798">
        <f>(K127-K117)/10*8+K117</f>
        <v>1112.4354761958707</v>
      </c>
      <c r="L125" s="797">
        <f>(L127-L117)/10*8+L117</f>
        <v>1324.38951355105</v>
      </c>
      <c r="M125" s="798">
        <f>(M127-M117)/10*8+M117</f>
        <v>1682.757705461097</v>
      </c>
    </row>
    <row r="126" spans="1:13" hidden="1" x14ac:dyDescent="0.2">
      <c r="A126" s="793">
        <v>8.9</v>
      </c>
      <c r="D126" s="482"/>
      <c r="G126" s="798">
        <f t="shared" ref="G126:I126" si="81">(G127-G117)/10*9+G117</f>
        <v>400.68160095848174</v>
      </c>
      <c r="H126" s="797">
        <f t="shared" si="81"/>
        <v>527.34080613966353</v>
      </c>
      <c r="I126" s="798">
        <f t="shared" si="81"/>
        <v>699.09610749895739</v>
      </c>
      <c r="J126" s="797">
        <f>(J127-J117)/10*9+J117</f>
        <v>1000.410834567248</v>
      </c>
      <c r="K126" s="798">
        <f>(K127-K117)/10*9+K117</f>
        <v>1116.5137715867254</v>
      </c>
      <c r="L126" s="797">
        <f>(L127-L117)/10*9+L117</f>
        <v>1330.1075965808127</v>
      </c>
      <c r="M126" s="798">
        <f>(M127-M117)/10*9+M117</f>
        <v>1691.9693118354126</v>
      </c>
    </row>
    <row r="127" spans="1:13" hidden="1" x14ac:dyDescent="0.2">
      <c r="A127" s="793">
        <v>9</v>
      </c>
      <c r="D127" s="482"/>
      <c r="G127" s="798">
        <v>404.69533696487633</v>
      </c>
      <c r="H127" s="797">
        <v>531.12760679313669</v>
      </c>
      <c r="I127" s="798">
        <v>705.64818064763108</v>
      </c>
      <c r="J127" s="797">
        <v>1005.5773066757243</v>
      </c>
      <c r="K127" s="798">
        <v>1120.5920669775801</v>
      </c>
      <c r="L127" s="797">
        <v>1335.8256796105752</v>
      </c>
      <c r="M127" s="798">
        <v>1701.1809182097284</v>
      </c>
    </row>
    <row r="128" spans="1:13" hidden="1" x14ac:dyDescent="0.2">
      <c r="A128" s="793">
        <v>9.1</v>
      </c>
      <c r="D128" s="482"/>
      <c r="G128" s="798">
        <f t="shared" ref="G128:I128" si="82">(G137-G127)/10*1+G127</f>
        <v>409.18414939680719</v>
      </c>
      <c r="H128" s="797">
        <f t="shared" si="82"/>
        <v>536.31350179778872</v>
      </c>
      <c r="I128" s="798">
        <f t="shared" si="82"/>
        <v>710.02859686833062</v>
      </c>
      <c r="J128" s="797">
        <f>(J137-J127)/10*1+J127</f>
        <v>1007.8487606367211</v>
      </c>
      <c r="K128" s="798">
        <f>(K137-K127)/10*1+K127</f>
        <v>1122.9187713785707</v>
      </c>
      <c r="L128" s="797">
        <f>(L137-L127)/10*1+L127</f>
        <v>1346.50200299673</v>
      </c>
      <c r="M128" s="798">
        <f>(M137-M127)/10*1+M127</f>
        <v>1706.3701183990861</v>
      </c>
    </row>
    <row r="129" spans="1:13" hidden="1" x14ac:dyDescent="0.2">
      <c r="A129" s="793">
        <v>9.1999999999999993</v>
      </c>
      <c r="D129" s="482"/>
      <c r="G129" s="798">
        <f t="shared" ref="G129:I129" si="83">(G137-G127)/10*2+G127</f>
        <v>413.67296182873798</v>
      </c>
      <c r="H129" s="797">
        <f t="shared" si="83"/>
        <v>541.49939680244063</v>
      </c>
      <c r="I129" s="798">
        <f t="shared" si="83"/>
        <v>714.40901308903017</v>
      </c>
      <c r="J129" s="797">
        <f>(J137-J127)/10*2+J127</f>
        <v>1010.1202145977177</v>
      </c>
      <c r="K129" s="798">
        <f>(K137-K127)/10*2+K127</f>
        <v>1125.2454757795615</v>
      </c>
      <c r="L129" s="797">
        <f>(L137-L127)/10*2+L127</f>
        <v>1357.1783263828847</v>
      </c>
      <c r="M129" s="798">
        <f>(M137-M127)/10*2+M127</f>
        <v>1711.5593185884438</v>
      </c>
    </row>
    <row r="130" spans="1:13" hidden="1" x14ac:dyDescent="0.2">
      <c r="A130" s="793">
        <v>9.3000000000000007</v>
      </c>
      <c r="D130" s="482"/>
      <c r="G130" s="798">
        <f t="shared" ref="G130:I130" si="84">(G137-G127)/10*3+G127</f>
        <v>418.16177426066884</v>
      </c>
      <c r="H130" s="797">
        <f t="shared" si="84"/>
        <v>546.68529180709265</v>
      </c>
      <c r="I130" s="798">
        <f t="shared" si="84"/>
        <v>718.78942930972971</v>
      </c>
      <c r="J130" s="797">
        <f>(J137-J127)/10*3+J127</f>
        <v>1012.3916685587144</v>
      </c>
      <c r="K130" s="798">
        <f>(K137-K127)/10*3+K127</f>
        <v>1127.5721801805521</v>
      </c>
      <c r="L130" s="797">
        <f>(L137-L127)/10*3+L127</f>
        <v>1367.8546497690395</v>
      </c>
      <c r="M130" s="798">
        <f>(M137-M127)/10*3+M127</f>
        <v>1716.7485187778016</v>
      </c>
    </row>
    <row r="131" spans="1:13" hidden="1" x14ac:dyDescent="0.2">
      <c r="A131" s="793">
        <v>9.3999999999999897</v>
      </c>
      <c r="D131" s="482"/>
      <c r="G131" s="798">
        <f t="shared" ref="G131:I131" si="85">(G137-G127)/10*4+G127</f>
        <v>422.65058669259963</v>
      </c>
      <c r="H131" s="797">
        <f t="shared" si="85"/>
        <v>551.87118681174468</v>
      </c>
      <c r="I131" s="798">
        <f t="shared" si="85"/>
        <v>723.16984553042926</v>
      </c>
      <c r="J131" s="797">
        <f>(J137-J127)/10*4+J127</f>
        <v>1014.6631225197111</v>
      </c>
      <c r="K131" s="798">
        <f>(K137-K127)/10*4+K127</f>
        <v>1129.8988845815429</v>
      </c>
      <c r="L131" s="797">
        <f>(L137-L127)/10*4+L127</f>
        <v>1378.5309731551943</v>
      </c>
      <c r="M131" s="798">
        <f>(M137-M127)/10*4+M127</f>
        <v>1721.9377189671593</v>
      </c>
    </row>
    <row r="132" spans="1:13" hidden="1" x14ac:dyDescent="0.2">
      <c r="A132" s="793">
        <v>9.4999999999999893</v>
      </c>
      <c r="D132" s="482"/>
      <c r="G132" s="798">
        <f t="shared" ref="G132:I132" si="86">(G137-G127)/10*5+G127</f>
        <v>427.13939912453048</v>
      </c>
      <c r="H132" s="797">
        <f t="shared" si="86"/>
        <v>557.0570818163967</v>
      </c>
      <c r="I132" s="798">
        <f t="shared" si="86"/>
        <v>727.5502617511288</v>
      </c>
      <c r="J132" s="797">
        <f>(J137-J127)/10*5+J127</f>
        <v>1016.9345764807078</v>
      </c>
      <c r="K132" s="798">
        <f>(K137-K127)/10*5+K127</f>
        <v>1132.2255889825335</v>
      </c>
      <c r="L132" s="797">
        <f>(L137-L127)/10*5+L127</f>
        <v>1389.207296541349</v>
      </c>
      <c r="M132" s="798">
        <f>(M137-M127)/10*5+M127</f>
        <v>1727.126919156517</v>
      </c>
    </row>
    <row r="133" spans="1:13" hidden="1" x14ac:dyDescent="0.2">
      <c r="A133" s="793">
        <v>9.5999999999999908</v>
      </c>
      <c r="D133" s="482"/>
      <c r="G133" s="798">
        <f t="shared" ref="G133:I133" si="87">(G137-G127)/10*6+G127</f>
        <v>431.62821155646134</v>
      </c>
      <c r="H133" s="797">
        <f t="shared" si="87"/>
        <v>562.24297682104861</v>
      </c>
      <c r="I133" s="798">
        <f t="shared" si="87"/>
        <v>731.93067797182835</v>
      </c>
      <c r="J133" s="797">
        <f>(J137-J127)/10*6+J127</f>
        <v>1019.2060304417045</v>
      </c>
      <c r="K133" s="798">
        <f>(K137-K127)/10*6+K127</f>
        <v>1134.5522933835241</v>
      </c>
      <c r="L133" s="797">
        <f>(L137-L127)/10*6+L127</f>
        <v>1399.883619927504</v>
      </c>
      <c r="M133" s="798">
        <f>(M137-M127)/10*6+M127</f>
        <v>1732.3161193458745</v>
      </c>
    </row>
    <row r="134" spans="1:13" hidden="1" x14ac:dyDescent="0.2">
      <c r="A134" s="793">
        <v>9.6999999999999904</v>
      </c>
      <c r="D134" s="482"/>
      <c r="G134" s="798">
        <f t="shared" ref="G134:I134" si="88">(G137-G127)/10*7+G127</f>
        <v>436.11702398839213</v>
      </c>
      <c r="H134" s="797">
        <f t="shared" si="88"/>
        <v>567.42887182570064</v>
      </c>
      <c r="I134" s="798">
        <f t="shared" si="88"/>
        <v>736.31109419252789</v>
      </c>
      <c r="J134" s="797">
        <f>(J137-J127)/10*7+J127</f>
        <v>1021.4774844027012</v>
      </c>
      <c r="K134" s="798">
        <f>(K137-K127)/10*7+K127</f>
        <v>1136.8789977845149</v>
      </c>
      <c r="L134" s="797">
        <f>(L137-L127)/10*7+L127</f>
        <v>1410.5599433136588</v>
      </c>
      <c r="M134" s="798">
        <f>(M137-M127)/10*7+M127</f>
        <v>1737.5053195352323</v>
      </c>
    </row>
    <row r="135" spans="1:13" hidden="1" x14ac:dyDescent="0.2">
      <c r="A135" s="793">
        <v>9.7999999999999901</v>
      </c>
      <c r="D135" s="482"/>
      <c r="G135" s="798">
        <f t="shared" ref="G135:I135" si="89">(G137-G127)/10*8+G127</f>
        <v>440.60583642032299</v>
      </c>
      <c r="H135" s="797">
        <f t="shared" si="89"/>
        <v>572.61476683035266</v>
      </c>
      <c r="I135" s="798">
        <f t="shared" si="89"/>
        <v>740.69151041322743</v>
      </c>
      <c r="J135" s="797">
        <f>(J137-J127)/10*8+J127</f>
        <v>1023.7489383636979</v>
      </c>
      <c r="K135" s="798">
        <f>(K137-K127)/10*8+K127</f>
        <v>1139.2057021855055</v>
      </c>
      <c r="L135" s="797">
        <f>(L137-L127)/10*8+L127</f>
        <v>1421.2362666998135</v>
      </c>
      <c r="M135" s="798">
        <f>(M137-M127)/10*8+M127</f>
        <v>1742.69451972459</v>
      </c>
    </row>
    <row r="136" spans="1:13" hidden="1" x14ac:dyDescent="0.2">
      <c r="A136" s="793">
        <v>9.8999999999999897</v>
      </c>
      <c r="D136" s="482"/>
      <c r="G136" s="798">
        <f t="shared" ref="G136:I136" si="90">(G137-G127)/10*9+G127</f>
        <v>445.09464885225378</v>
      </c>
      <c r="H136" s="797">
        <f t="shared" si="90"/>
        <v>577.80066183500458</v>
      </c>
      <c r="I136" s="798">
        <f t="shared" si="90"/>
        <v>745.07192663392698</v>
      </c>
      <c r="J136" s="797">
        <f>(J137-J127)/10*9+J127</f>
        <v>1026.0203923246945</v>
      </c>
      <c r="K136" s="798">
        <f>(K137-K127)/10*9+K127</f>
        <v>1141.5324065864963</v>
      </c>
      <c r="L136" s="797">
        <f>(L137-L127)/10*9+L127</f>
        <v>1431.9125900859683</v>
      </c>
      <c r="M136" s="798">
        <f>(M137-M127)/10*9+M127</f>
        <v>1747.8837199139477</v>
      </c>
    </row>
    <row r="137" spans="1:13" hidden="1" x14ac:dyDescent="0.2">
      <c r="A137" s="793">
        <v>9.9999999999999893</v>
      </c>
      <c r="D137" s="482"/>
      <c r="G137" s="798">
        <v>449.58346128418464</v>
      </c>
      <c r="H137" s="797">
        <v>582.9865568396566</v>
      </c>
      <c r="I137" s="798">
        <v>749.45234285462652</v>
      </c>
      <c r="J137" s="797">
        <v>1028.2918462856912</v>
      </c>
      <c r="K137" s="798">
        <v>1143.8591109874869</v>
      </c>
      <c r="L137" s="797">
        <v>1442.5889134721231</v>
      </c>
      <c r="M137" s="798">
        <v>1753.0729201033055</v>
      </c>
    </row>
    <row r="138" spans="1:13" hidden="1" x14ac:dyDescent="0.2">
      <c r="A138" s="793">
        <v>10.1</v>
      </c>
      <c r="D138" s="482"/>
      <c r="G138" s="798">
        <f t="shared" ref="G138:I138" si="91">(G147-G137)/10*1+G137</f>
        <v>453.24842362380758</v>
      </c>
      <c r="H138" s="797">
        <f t="shared" si="91"/>
        <v>587.08723085463055</v>
      </c>
      <c r="I138" s="798">
        <f t="shared" si="91"/>
        <v>750.98715914454863</v>
      </c>
      <c r="J138" s="797">
        <f>(J147-J137)/10*1+J137</f>
        <v>1037.7459074407061</v>
      </c>
      <c r="K138" s="798">
        <f>(K147-K137)/10*1+K137</f>
        <v>1146.9471460878717</v>
      </c>
      <c r="L138" s="797">
        <f>(L147-L137)/10*1+L137</f>
        <v>1454.0801749164707</v>
      </c>
      <c r="M138" s="798">
        <f>(M147-M137)/10*1+M137</f>
        <v>1756.6543426347123</v>
      </c>
    </row>
    <row r="139" spans="1:13" hidden="1" x14ac:dyDescent="0.2">
      <c r="A139" s="793">
        <v>10.199999999999999</v>
      </c>
      <c r="D139" s="482"/>
      <c r="G139" s="798">
        <f t="shared" ref="G139:I139" si="92">(G147-G137)/10*2+G137</f>
        <v>456.91338596343053</v>
      </c>
      <c r="H139" s="797">
        <f t="shared" si="92"/>
        <v>591.18790486960449</v>
      </c>
      <c r="I139" s="798">
        <f t="shared" si="92"/>
        <v>752.52197543447073</v>
      </c>
      <c r="J139" s="797">
        <f>(J147-J137)/10*2+J137</f>
        <v>1047.199968595721</v>
      </c>
      <c r="K139" s="798">
        <f>(K147-K137)/10*2+K137</f>
        <v>1150.0351811882567</v>
      </c>
      <c r="L139" s="797">
        <f>(L147-L137)/10*2+L137</f>
        <v>1465.5714363608186</v>
      </c>
      <c r="M139" s="798">
        <f>(M147-M137)/10*2+M137</f>
        <v>1760.2357651661191</v>
      </c>
    </row>
    <row r="140" spans="1:13" hidden="1" x14ac:dyDescent="0.2">
      <c r="A140" s="793">
        <v>10.3</v>
      </c>
      <c r="D140" s="482"/>
      <c r="G140" s="798">
        <f t="shared" ref="G140:I140" si="93">(G147-G137)/10*3+G137</f>
        <v>460.57834830305342</v>
      </c>
      <c r="H140" s="797">
        <f t="shared" si="93"/>
        <v>595.28857888457844</v>
      </c>
      <c r="I140" s="798">
        <f t="shared" si="93"/>
        <v>754.05679172439272</v>
      </c>
      <c r="J140" s="797">
        <f>(J147-J137)/10*3+J137</f>
        <v>1056.6540297507361</v>
      </c>
      <c r="K140" s="798">
        <f>(K147-K137)/10*3+K137</f>
        <v>1153.1232162886417</v>
      </c>
      <c r="L140" s="797">
        <f>(L147-L137)/10*3+L137</f>
        <v>1477.0626978051662</v>
      </c>
      <c r="M140" s="798">
        <f>(M147-M137)/10*3+M137</f>
        <v>1763.8171876975259</v>
      </c>
    </row>
    <row r="141" spans="1:13" hidden="1" x14ac:dyDescent="0.2">
      <c r="A141" s="793">
        <v>10.4</v>
      </c>
      <c r="D141" s="482"/>
      <c r="G141" s="798">
        <f t="shared" ref="G141:I141" si="94">(G147-G137)/10*4+G137</f>
        <v>464.24331064267636</v>
      </c>
      <c r="H141" s="797">
        <f t="shared" si="94"/>
        <v>599.38925289955239</v>
      </c>
      <c r="I141" s="798">
        <f t="shared" si="94"/>
        <v>755.59160801431483</v>
      </c>
      <c r="J141" s="797">
        <f>(J147-J137)/10*4+J137</f>
        <v>1066.1080909057509</v>
      </c>
      <c r="K141" s="798">
        <f>(K147-K137)/10*4+K137</f>
        <v>1156.2112513890265</v>
      </c>
      <c r="L141" s="797">
        <f>(L147-L137)/10*4+L137</f>
        <v>1488.553959249514</v>
      </c>
      <c r="M141" s="798">
        <f>(M147-M137)/10*4+M137</f>
        <v>1767.3986102289327</v>
      </c>
    </row>
    <row r="142" spans="1:13" hidden="1" x14ac:dyDescent="0.2">
      <c r="A142" s="793">
        <v>10.5</v>
      </c>
      <c r="D142" s="482"/>
      <c r="G142" s="798">
        <f t="shared" ref="G142:I142" si="95">(G147-G137)/10*5+G137</f>
        <v>467.90827298229931</v>
      </c>
      <c r="H142" s="797">
        <f t="shared" si="95"/>
        <v>603.48992691452634</v>
      </c>
      <c r="I142" s="798">
        <f t="shared" si="95"/>
        <v>757.12642430423693</v>
      </c>
      <c r="J142" s="797">
        <f>(J147-J137)/10*5+J137</f>
        <v>1075.5621520607658</v>
      </c>
      <c r="K142" s="798">
        <f>(K147-K137)/10*5+K137</f>
        <v>1159.2992864894113</v>
      </c>
      <c r="L142" s="797">
        <f>(L147-L137)/10*5+L137</f>
        <v>1500.0452206938617</v>
      </c>
      <c r="M142" s="798">
        <f>(M147-M137)/10*5+M137</f>
        <v>1770.9800327603398</v>
      </c>
    </row>
    <row r="143" spans="1:13" hidden="1" x14ac:dyDescent="0.2">
      <c r="A143" s="793">
        <v>10.6</v>
      </c>
      <c r="D143" s="482"/>
      <c r="G143" s="798">
        <f t="shared" ref="G143:I143" si="96">(G147-G137)/10*6+G137</f>
        <v>471.57323532192225</v>
      </c>
      <c r="H143" s="797">
        <f t="shared" si="96"/>
        <v>607.59060092950028</v>
      </c>
      <c r="I143" s="798">
        <f t="shared" si="96"/>
        <v>758.66124059415904</v>
      </c>
      <c r="J143" s="797">
        <f>(J147-J137)/10*6+J137</f>
        <v>1085.0162132157807</v>
      </c>
      <c r="K143" s="798">
        <f>(K147-K137)/10*6+K137</f>
        <v>1162.3873215897963</v>
      </c>
      <c r="L143" s="797">
        <f>(L147-L137)/10*6+L137</f>
        <v>1511.5364821382093</v>
      </c>
      <c r="M143" s="798">
        <f>(M147-M137)/10*6+M137</f>
        <v>1774.5614552917466</v>
      </c>
    </row>
    <row r="144" spans="1:13" hidden="1" x14ac:dyDescent="0.2">
      <c r="A144" s="793">
        <v>10.7</v>
      </c>
      <c r="D144" s="482"/>
      <c r="G144" s="798">
        <f t="shared" ref="G144:I144" si="97">(G147-G137)/10*7+G137</f>
        <v>475.2381976615452</v>
      </c>
      <c r="H144" s="797">
        <f t="shared" si="97"/>
        <v>611.69127494447423</v>
      </c>
      <c r="I144" s="798">
        <f t="shared" si="97"/>
        <v>760.19605688408114</v>
      </c>
      <c r="J144" s="797">
        <f>(J147-J137)/10*7+J137</f>
        <v>1094.4702743707956</v>
      </c>
      <c r="K144" s="798">
        <f>(K147-K137)/10*7+K137</f>
        <v>1165.4753566901813</v>
      </c>
      <c r="L144" s="797">
        <f>(L147-L137)/10*7+L137</f>
        <v>1523.0277435825572</v>
      </c>
      <c r="M144" s="798">
        <f>(M147-M137)/10*7+M137</f>
        <v>1778.1428778231534</v>
      </c>
    </row>
    <row r="145" spans="1:13" hidden="1" x14ac:dyDescent="0.2">
      <c r="A145" s="793">
        <v>10.8</v>
      </c>
      <c r="D145" s="482"/>
      <c r="G145" s="798">
        <f t="shared" ref="G145:I145" si="98">(G147-G137)/10*8+G137</f>
        <v>478.90316000116809</v>
      </c>
      <c r="H145" s="797">
        <f t="shared" si="98"/>
        <v>615.79194895944818</v>
      </c>
      <c r="I145" s="798">
        <f t="shared" si="98"/>
        <v>761.73087317400314</v>
      </c>
      <c r="J145" s="797">
        <f>(J147-J137)/10*8+J137</f>
        <v>1103.9243355258106</v>
      </c>
      <c r="K145" s="798">
        <f>(K147-K137)/10*8+K137</f>
        <v>1168.5633917905661</v>
      </c>
      <c r="L145" s="797">
        <f>(L147-L137)/10*8+L137</f>
        <v>1534.5190050269048</v>
      </c>
      <c r="M145" s="798">
        <f>(M147-M137)/10*8+M137</f>
        <v>1781.7243003545602</v>
      </c>
    </row>
    <row r="146" spans="1:13" hidden="1" x14ac:dyDescent="0.2">
      <c r="A146" s="793">
        <v>10.9</v>
      </c>
      <c r="D146" s="482"/>
      <c r="G146" s="798">
        <f t="shared" ref="G146:I146" si="99">(G147-G137)/10*9+G137</f>
        <v>482.56812234079104</v>
      </c>
      <c r="H146" s="797">
        <f t="shared" si="99"/>
        <v>619.89262297442212</v>
      </c>
      <c r="I146" s="798">
        <f t="shared" si="99"/>
        <v>763.26568946392524</v>
      </c>
      <c r="J146" s="797">
        <f>(J147-J137)/10*9+J137</f>
        <v>1113.3783966808255</v>
      </c>
      <c r="K146" s="798">
        <f>(K147-K137)/10*9+K137</f>
        <v>1171.6514268909509</v>
      </c>
      <c r="L146" s="797">
        <f>(L147-L137)/10*9+L137</f>
        <v>1546.0102664712526</v>
      </c>
      <c r="M146" s="798">
        <f>(M147-M137)/10*9+M137</f>
        <v>1785.305722885967</v>
      </c>
    </row>
    <row r="147" spans="1:13" hidden="1" x14ac:dyDescent="0.2">
      <c r="A147" s="793">
        <v>11</v>
      </c>
      <c r="D147" s="482"/>
      <c r="G147" s="798">
        <v>486.23308468041398</v>
      </c>
      <c r="H147" s="797">
        <v>623.99329698939607</v>
      </c>
      <c r="I147" s="798">
        <v>764.80050575384735</v>
      </c>
      <c r="J147" s="797">
        <v>1122.8324578358404</v>
      </c>
      <c r="K147" s="798">
        <v>1174.7394619913359</v>
      </c>
      <c r="L147" s="797">
        <v>1557.5015279156003</v>
      </c>
      <c r="M147" s="798">
        <v>1788.8871454173739</v>
      </c>
    </row>
    <row r="148" spans="1:13" hidden="1" x14ac:dyDescent="0.2">
      <c r="A148" s="793">
        <v>11.1</v>
      </c>
      <c r="D148" s="482"/>
      <c r="G148" s="798">
        <f t="shared" ref="G148:I148" si="100">(G157-G147)/10*1+G147</f>
        <v>488.0484471905192</v>
      </c>
      <c r="H148" s="797">
        <f t="shared" si="100"/>
        <v>629.50477285486318</v>
      </c>
      <c r="I148" s="798">
        <f t="shared" si="100"/>
        <v>769.35643057116772</v>
      </c>
      <c r="J148" s="797">
        <f>(J157-J147)/10*1+J147</f>
        <v>1136.1468660206056</v>
      </c>
      <c r="K148" s="798">
        <f>(K157-K147)/10*1+K147</f>
        <v>1184.2658087100135</v>
      </c>
      <c r="L148" s="797">
        <f>(L157-L147)/10*1+L147</f>
        <v>1559.644140778538</v>
      </c>
      <c r="M148" s="798">
        <f>(M157-M147)/10*1+M147</f>
        <v>1802.1740904867168</v>
      </c>
    </row>
    <row r="149" spans="1:13" hidden="1" x14ac:dyDescent="0.2">
      <c r="A149" s="793">
        <v>11.2</v>
      </c>
      <c r="D149" s="482"/>
      <c r="G149" s="798">
        <f t="shared" ref="G149:I149" si="101">(G157-G147)/10*2+G147</f>
        <v>489.86380970062442</v>
      </c>
      <c r="H149" s="797">
        <f t="shared" si="101"/>
        <v>635.01624872033017</v>
      </c>
      <c r="I149" s="798">
        <f t="shared" si="101"/>
        <v>773.91235538848821</v>
      </c>
      <c r="J149" s="797">
        <f>(J157-J147)/10*2+J147</f>
        <v>1149.461274205371</v>
      </c>
      <c r="K149" s="798">
        <f>(K157-K147)/10*2+K147</f>
        <v>1193.7921554286913</v>
      </c>
      <c r="L149" s="797">
        <f>(L157-L147)/10*2+L147</f>
        <v>1561.7867536414756</v>
      </c>
      <c r="M149" s="798">
        <f>(M157-M147)/10*2+M147</f>
        <v>1815.4610355560599</v>
      </c>
    </row>
    <row r="150" spans="1:13" hidden="1" x14ac:dyDescent="0.2">
      <c r="A150" s="793">
        <v>11.3</v>
      </c>
      <c r="D150" s="482"/>
      <c r="G150" s="798">
        <f t="shared" ref="G150:I150" si="102">(G157-G147)/10*3+G147</f>
        <v>491.67917221072963</v>
      </c>
      <c r="H150" s="797">
        <f t="shared" si="102"/>
        <v>640.52772458579716</v>
      </c>
      <c r="I150" s="798">
        <f t="shared" si="102"/>
        <v>778.46828020580858</v>
      </c>
      <c r="J150" s="797">
        <f>(J157-J147)/10*3+J147</f>
        <v>1162.7756823901364</v>
      </c>
      <c r="K150" s="798">
        <f>(K157-K147)/10*3+K147</f>
        <v>1203.3185021473691</v>
      </c>
      <c r="L150" s="797">
        <f>(L157-L147)/10*3+L147</f>
        <v>1563.9293665044133</v>
      </c>
      <c r="M150" s="798">
        <f>(M157-M147)/10*3+M147</f>
        <v>1828.7479806254028</v>
      </c>
    </row>
    <row r="151" spans="1:13" hidden="1" x14ac:dyDescent="0.2">
      <c r="A151" s="793">
        <v>11.4</v>
      </c>
      <c r="D151" s="482"/>
      <c r="G151" s="798">
        <f t="shared" ref="G151:I151" si="103">(G157-G147)/10*4+G147</f>
        <v>493.49453472083485</v>
      </c>
      <c r="H151" s="797">
        <f t="shared" si="103"/>
        <v>646.03920045126426</v>
      </c>
      <c r="I151" s="798">
        <f t="shared" si="103"/>
        <v>783.02420502312907</v>
      </c>
      <c r="J151" s="797">
        <f>(J157-J147)/10*4+J147</f>
        <v>1176.0900905749015</v>
      </c>
      <c r="K151" s="798">
        <f>(K157-K147)/10*4+K147</f>
        <v>1212.8448488660467</v>
      </c>
      <c r="L151" s="797">
        <f>(L157-L147)/10*4+L147</f>
        <v>1566.0719793673509</v>
      </c>
      <c r="M151" s="798">
        <f>(M157-M147)/10*4+M147</f>
        <v>1842.0349256947459</v>
      </c>
    </row>
    <row r="152" spans="1:13" hidden="1" x14ac:dyDescent="0.2">
      <c r="A152" s="793">
        <v>11.5</v>
      </c>
      <c r="D152" s="482"/>
      <c r="G152" s="798">
        <f t="shared" ref="G152:I152" si="104">(G157-G147)/10*5+G147</f>
        <v>495.30989723094001</v>
      </c>
      <c r="H152" s="797">
        <f t="shared" si="104"/>
        <v>651.55067631673137</v>
      </c>
      <c r="I152" s="798">
        <f t="shared" si="104"/>
        <v>787.58012984044944</v>
      </c>
      <c r="J152" s="797">
        <f>(J157-J147)/10*5+J147</f>
        <v>1189.4044987596667</v>
      </c>
      <c r="K152" s="798">
        <f>(K157-K147)/10*5+K147</f>
        <v>1222.3711955847243</v>
      </c>
      <c r="L152" s="797">
        <f>(L157-L147)/10*5+L147</f>
        <v>1568.2145922302886</v>
      </c>
      <c r="M152" s="798">
        <f>(M157-M147)/10*5+M147</f>
        <v>1855.3218707640888</v>
      </c>
    </row>
    <row r="153" spans="1:13" hidden="1" x14ac:dyDescent="0.2">
      <c r="A153" s="793">
        <v>11.6</v>
      </c>
      <c r="D153" s="482"/>
      <c r="G153" s="798">
        <f t="shared" ref="G153:I153" si="105">(G157-G147)/10*6+G147</f>
        <v>497.12525974104523</v>
      </c>
      <c r="H153" s="797">
        <f t="shared" si="105"/>
        <v>657.06215218219836</v>
      </c>
      <c r="I153" s="798">
        <f t="shared" si="105"/>
        <v>792.13605465776982</v>
      </c>
      <c r="J153" s="797">
        <f>(J157-J147)/10*6+J147</f>
        <v>1202.7189069444321</v>
      </c>
      <c r="K153" s="798">
        <f>(K157-K147)/10*6+K147</f>
        <v>1231.8975423034021</v>
      </c>
      <c r="L153" s="797">
        <f>(L157-L147)/10*6+L147</f>
        <v>1570.3572050932264</v>
      </c>
      <c r="M153" s="798">
        <f>(M157-M147)/10*6+M147</f>
        <v>1868.6088158334317</v>
      </c>
    </row>
    <row r="154" spans="1:13" hidden="1" x14ac:dyDescent="0.2">
      <c r="A154" s="793">
        <v>11.7</v>
      </c>
      <c r="D154" s="482"/>
      <c r="G154" s="798">
        <f t="shared" ref="G154:I154" si="106">(G157-G147)/10*7+G147</f>
        <v>498.94062225115044</v>
      </c>
      <c r="H154" s="797">
        <f t="shared" si="106"/>
        <v>662.57362804766535</v>
      </c>
      <c r="I154" s="798">
        <f t="shared" si="106"/>
        <v>796.69197947509031</v>
      </c>
      <c r="J154" s="797">
        <f>(J157-J147)/10*7+J147</f>
        <v>1216.0333151291975</v>
      </c>
      <c r="K154" s="798">
        <f>(K157-K147)/10*7+K147</f>
        <v>1241.4238890220799</v>
      </c>
      <c r="L154" s="797">
        <f>(L157-L147)/10*7+L147</f>
        <v>1572.499817956164</v>
      </c>
      <c r="M154" s="798">
        <f>(M157-M147)/10*7+M147</f>
        <v>1881.8957609027748</v>
      </c>
    </row>
    <row r="155" spans="1:13" hidden="1" x14ac:dyDescent="0.2">
      <c r="A155" s="793">
        <v>11.8</v>
      </c>
      <c r="D155" s="482"/>
      <c r="G155" s="798">
        <f t="shared" ref="G155:I155" si="107">(G157-G147)/10*8+G147</f>
        <v>500.75598476125566</v>
      </c>
      <c r="H155" s="797">
        <f t="shared" si="107"/>
        <v>668.08510391313246</v>
      </c>
      <c r="I155" s="798">
        <f t="shared" si="107"/>
        <v>801.24790429241068</v>
      </c>
      <c r="J155" s="797">
        <f>(J157-J147)/10*8+J147</f>
        <v>1229.3477233139627</v>
      </c>
      <c r="K155" s="798">
        <f>(K157-K147)/10*8+K147</f>
        <v>1250.9502357407575</v>
      </c>
      <c r="L155" s="797">
        <f>(L157-L147)/10*8+L147</f>
        <v>1574.6424308191017</v>
      </c>
      <c r="M155" s="798">
        <f>(M157-M147)/10*8+M147</f>
        <v>1895.1827059721177</v>
      </c>
    </row>
    <row r="156" spans="1:13" hidden="1" x14ac:dyDescent="0.2">
      <c r="A156" s="793">
        <v>11.9</v>
      </c>
      <c r="D156" s="482"/>
      <c r="G156" s="798">
        <f t="shared" ref="G156:I156" si="108">(G157-G147)/10*9+G147</f>
        <v>502.57134727136088</v>
      </c>
      <c r="H156" s="797">
        <f t="shared" si="108"/>
        <v>673.59657977859956</v>
      </c>
      <c r="I156" s="798">
        <f t="shared" si="108"/>
        <v>805.80382910973117</v>
      </c>
      <c r="J156" s="797">
        <f>(J157-J147)/10*9+J147</f>
        <v>1242.6621314987278</v>
      </c>
      <c r="K156" s="798">
        <f>(K157-K147)/10*9+K147</f>
        <v>1260.4765824594351</v>
      </c>
      <c r="L156" s="797">
        <f>(L157-L147)/10*9+L147</f>
        <v>1576.7850436820393</v>
      </c>
      <c r="M156" s="798">
        <f>(M157-M147)/10*9+M147</f>
        <v>1908.4696510414608</v>
      </c>
    </row>
    <row r="157" spans="1:13" hidden="1" x14ac:dyDescent="0.2">
      <c r="A157" s="793">
        <v>12</v>
      </c>
      <c r="D157" s="482"/>
      <c r="G157" s="798">
        <v>504.3867097814661</v>
      </c>
      <c r="H157" s="797">
        <v>679.10805564406655</v>
      </c>
      <c r="I157" s="798">
        <v>810.35975392705154</v>
      </c>
      <c r="J157" s="797">
        <v>1255.9765396834932</v>
      </c>
      <c r="K157" s="798">
        <v>1270.0029291781129</v>
      </c>
      <c r="L157" s="797">
        <v>1578.927656544977</v>
      </c>
      <c r="M157" s="798">
        <v>1921.7565961108037</v>
      </c>
    </row>
    <row r="158" spans="1:13" hidden="1" x14ac:dyDescent="0.2">
      <c r="A158" s="793">
        <v>12.1</v>
      </c>
      <c r="D158" s="482"/>
      <c r="H158" s="797">
        <f t="shared" ref="H158:I158" si="109">(H167-H157)/10*1+H157</f>
        <v>684.60063467476039</v>
      </c>
      <c r="I158" s="798">
        <f t="shared" si="109"/>
        <v>818.19696277608671</v>
      </c>
      <c r="J158" s="797">
        <f>(J167-J157)/10*1+J157</f>
        <v>1267.2720953426769</v>
      </c>
      <c r="K158" s="798">
        <f>(K167-K157)/10*1+K157</f>
        <v>1283.248147564067</v>
      </c>
      <c r="L158" s="797">
        <f>(L167-L157)/10*1+L157</f>
        <v>1580.2658450792296</v>
      </c>
      <c r="M158" s="798">
        <f>(M167-M157)/10*1+M157</f>
        <v>1941.1449195146211</v>
      </c>
    </row>
    <row r="159" spans="1:13" hidden="1" x14ac:dyDescent="0.2">
      <c r="A159" s="793">
        <v>12.2</v>
      </c>
      <c r="D159" s="482"/>
      <c r="H159" s="797">
        <f t="shared" ref="H159:I159" si="110">(H167-H157)/10*2+H157</f>
        <v>690.09321370545422</v>
      </c>
      <c r="I159" s="798">
        <f t="shared" si="110"/>
        <v>826.03417162512187</v>
      </c>
      <c r="J159" s="797">
        <f>(J167-J157)/10*2+J157</f>
        <v>1278.5676510018607</v>
      </c>
      <c r="K159" s="798">
        <f>(K167-K157)/10*2+K157</f>
        <v>1296.4933659500209</v>
      </c>
      <c r="L159" s="797">
        <f>(L167-L157)/10*2+L157</f>
        <v>1581.6040336134822</v>
      </c>
      <c r="M159" s="798">
        <f>(M167-M157)/10*2+M157</f>
        <v>1960.5332429184382</v>
      </c>
    </row>
    <row r="160" spans="1:13" hidden="1" x14ac:dyDescent="0.2">
      <c r="A160" s="793">
        <v>12.3</v>
      </c>
      <c r="D160" s="482"/>
      <c r="H160" s="797">
        <f t="shared" ref="H160:I160" si="111">(H167-H157)/10*3+H157</f>
        <v>695.58579273614816</v>
      </c>
      <c r="I160" s="798">
        <f t="shared" si="111"/>
        <v>833.87138047415704</v>
      </c>
      <c r="J160" s="797">
        <f>(J167-J157)/10*3+J157</f>
        <v>1289.8632066610442</v>
      </c>
      <c r="K160" s="798">
        <f>(K167-K157)/10*3+K157</f>
        <v>1309.738584335975</v>
      </c>
      <c r="L160" s="797">
        <f>(L167-L157)/10*3+L157</f>
        <v>1582.9422221477348</v>
      </c>
      <c r="M160" s="798">
        <f>(M167-M157)/10*3+M157</f>
        <v>1979.9215663222553</v>
      </c>
    </row>
    <row r="161" spans="1:13" hidden="1" x14ac:dyDescent="0.2">
      <c r="A161" s="793">
        <v>12.4</v>
      </c>
      <c r="D161" s="482"/>
      <c r="H161" s="797">
        <f t="shared" ref="H161:I161" si="112">(H167-H157)/10*4+H157</f>
        <v>701.078371766842</v>
      </c>
      <c r="I161" s="798">
        <f t="shared" si="112"/>
        <v>841.7085893231922</v>
      </c>
      <c r="J161" s="797">
        <f>(J167-J157)/10*4+J157</f>
        <v>1301.1587623202279</v>
      </c>
      <c r="K161" s="798">
        <f>(K167-K157)/10*4+K157</f>
        <v>1322.9838027219289</v>
      </c>
      <c r="L161" s="797">
        <f>(L167-L157)/10*4+L157</f>
        <v>1584.2804106819874</v>
      </c>
      <c r="M161" s="798">
        <f>(M167-M157)/10*4+M157</f>
        <v>1999.3098897260727</v>
      </c>
    </row>
    <row r="162" spans="1:13" hidden="1" x14ac:dyDescent="0.2">
      <c r="A162" s="793">
        <v>12.5</v>
      </c>
      <c r="D162" s="482"/>
      <c r="H162" s="797">
        <f t="shared" ref="H162:I162" si="113">(H167-H157)/10*5+H157</f>
        <v>706.57095079753583</v>
      </c>
      <c r="I162" s="798">
        <f t="shared" si="113"/>
        <v>849.54579817222725</v>
      </c>
      <c r="J162" s="797">
        <f>(J167-J157)/10*5+J157</f>
        <v>1312.4543179794116</v>
      </c>
      <c r="K162" s="798">
        <f>(K167-K157)/10*5+K157</f>
        <v>1336.229021107883</v>
      </c>
      <c r="L162" s="797">
        <f>(L167-L157)/10*5+L157</f>
        <v>1585.61859921624</v>
      </c>
      <c r="M162" s="798">
        <f>(M167-M157)/10*5+M157</f>
        <v>2018.6982131298901</v>
      </c>
    </row>
    <row r="163" spans="1:13" hidden="1" x14ac:dyDescent="0.2">
      <c r="A163" s="793">
        <v>12.6</v>
      </c>
      <c r="D163" s="482"/>
      <c r="H163" s="797">
        <f t="shared" ref="H163:I163" si="114">(H167-H157)/10*6+H157</f>
        <v>712.06352982822966</v>
      </c>
      <c r="I163" s="798">
        <f t="shared" si="114"/>
        <v>857.38300702126242</v>
      </c>
      <c r="J163" s="797">
        <f>(J167-J157)/10*6+J157</f>
        <v>1323.7498736385953</v>
      </c>
      <c r="K163" s="798">
        <f>(K167-K157)/10*6+K157</f>
        <v>1349.4742394938371</v>
      </c>
      <c r="L163" s="797">
        <f>(L167-L157)/10*6+L157</f>
        <v>1586.9567877504924</v>
      </c>
      <c r="M163" s="798">
        <f>(M167-M157)/10*6+M157</f>
        <v>2038.0865365337072</v>
      </c>
    </row>
    <row r="164" spans="1:13" hidden="1" x14ac:dyDescent="0.2">
      <c r="A164" s="793">
        <v>12.7</v>
      </c>
      <c r="D164" s="482"/>
      <c r="H164" s="797">
        <f t="shared" ref="H164:I164" si="115">(H167-H157)/10*7+H157</f>
        <v>717.55610885892349</v>
      </c>
      <c r="I164" s="798">
        <f t="shared" si="115"/>
        <v>865.22021587029758</v>
      </c>
      <c r="J164" s="797">
        <f>(J167-J157)/10*7+J157</f>
        <v>1335.045429297779</v>
      </c>
      <c r="K164" s="798">
        <f>(K167-K157)/10*7+K157</f>
        <v>1362.719457879791</v>
      </c>
      <c r="L164" s="797">
        <f>(L167-L157)/10*7+L157</f>
        <v>1588.294976284745</v>
      </c>
      <c r="M164" s="798">
        <f>(M167-M157)/10*7+M157</f>
        <v>2057.4748599375243</v>
      </c>
    </row>
    <row r="165" spans="1:13" hidden="1" x14ac:dyDescent="0.2">
      <c r="A165" s="793">
        <v>12.8</v>
      </c>
      <c r="D165" s="482"/>
      <c r="H165" s="797">
        <f t="shared" ref="H165:I165" si="116">(H167-H157)/10*8+H157</f>
        <v>723.04868788961744</v>
      </c>
      <c r="I165" s="798">
        <f t="shared" si="116"/>
        <v>873.05742471933274</v>
      </c>
      <c r="J165" s="797">
        <f>(J167-J157)/10*8+J157</f>
        <v>1346.3409849569625</v>
      </c>
      <c r="K165" s="798">
        <f>(K167-K157)/10*8+K157</f>
        <v>1375.9646762657451</v>
      </c>
      <c r="L165" s="797">
        <f>(L167-L157)/10*8+L157</f>
        <v>1589.6331648189976</v>
      </c>
      <c r="M165" s="798">
        <f>(M167-M157)/10*8+M157</f>
        <v>2076.8631833413419</v>
      </c>
    </row>
    <row r="166" spans="1:13" hidden="1" x14ac:dyDescent="0.2">
      <c r="A166" s="793">
        <v>12.9</v>
      </c>
      <c r="D166" s="482"/>
      <c r="H166" s="797">
        <f t="shared" ref="H166:I166" si="117">(H167-H157)/10*9+H157</f>
        <v>728.54126692031127</v>
      </c>
      <c r="I166" s="798">
        <f t="shared" si="117"/>
        <v>880.89463356836791</v>
      </c>
      <c r="J166" s="797">
        <f>(J167-J157)/10*9+J157</f>
        <v>1357.6365406161462</v>
      </c>
      <c r="K166" s="798">
        <f>(K167-K157)/10*9+K157</f>
        <v>1389.209894651699</v>
      </c>
      <c r="L166" s="797">
        <f>(L167-L157)/10*9+L157</f>
        <v>1590.9713533532502</v>
      </c>
      <c r="M166" s="798">
        <f>(M167-M157)/10*9+M157</f>
        <v>2096.2515067451591</v>
      </c>
    </row>
    <row r="167" spans="1:13" hidden="1" x14ac:dyDescent="0.2">
      <c r="A167" s="793">
        <v>13</v>
      </c>
      <c r="D167" s="482"/>
      <c r="H167" s="797">
        <v>734.03384595100511</v>
      </c>
      <c r="I167" s="798">
        <v>888.73184241740307</v>
      </c>
      <c r="J167" s="797">
        <v>1368.93209627533</v>
      </c>
      <c r="K167" s="798">
        <v>1402.4551130376531</v>
      </c>
      <c r="L167" s="797">
        <v>1592.3095418875027</v>
      </c>
      <c r="M167" s="798">
        <v>2115.6398301489762</v>
      </c>
    </row>
    <row r="168" spans="1:13" hidden="1" x14ac:dyDescent="0.2">
      <c r="A168" s="793">
        <v>13.1</v>
      </c>
      <c r="D168" s="482"/>
      <c r="H168" s="797">
        <f t="shared" ref="H168:I168" si="118">(H177-H167)/10*1+H167</f>
        <v>739.87205053035325</v>
      </c>
      <c r="I168" s="798">
        <f t="shared" si="118"/>
        <v>897.25773675916344</v>
      </c>
      <c r="J168" s="797">
        <f>(J177-J167)/10*1+J167</f>
        <v>1376.8469893384963</v>
      </c>
      <c r="K168" s="798">
        <f>(K177-K167)/10*1+K167</f>
        <v>1415.4352129419849</v>
      </c>
      <c r="L168" s="797">
        <f>(L177-L167)/10*1+L167</f>
        <v>1606.5187414031122</v>
      </c>
      <c r="M168" s="798">
        <f>(M177-M167)/10*1+M167</f>
        <v>2134.6827690616283</v>
      </c>
    </row>
    <row r="169" spans="1:13" hidden="1" x14ac:dyDescent="0.2">
      <c r="A169" s="793">
        <v>13.2</v>
      </c>
      <c r="D169" s="482"/>
      <c r="H169" s="797">
        <f t="shared" ref="H169:I169" si="119">(H177-H167)/10*2+H167</f>
        <v>745.71025510970128</v>
      </c>
      <c r="I169" s="798">
        <f t="shared" si="119"/>
        <v>905.78363110092391</v>
      </c>
      <c r="J169" s="797">
        <f>(J177-J167)/10*2+J167</f>
        <v>1384.7618824016624</v>
      </c>
      <c r="K169" s="798">
        <f>(K177-K167)/10*2+K167</f>
        <v>1428.415312846317</v>
      </c>
      <c r="L169" s="797">
        <f>(L177-L167)/10*2+L167</f>
        <v>1620.7279409187215</v>
      </c>
      <c r="M169" s="798">
        <f>(M177-M167)/10*2+M167</f>
        <v>2153.7257079742808</v>
      </c>
    </row>
    <row r="170" spans="1:13" hidden="1" x14ac:dyDescent="0.2">
      <c r="A170" s="793">
        <v>13.3</v>
      </c>
      <c r="D170" s="482"/>
      <c r="H170" s="797">
        <f t="shared" ref="H170:I170" si="120">(H177-H167)/10*3+H167</f>
        <v>751.54845968904942</v>
      </c>
      <c r="I170" s="798">
        <f t="shared" si="120"/>
        <v>914.30952544268428</v>
      </c>
      <c r="J170" s="797">
        <f>(J177-J167)/10*3+J167</f>
        <v>1392.6767754648288</v>
      </c>
      <c r="K170" s="798">
        <f>(K177-K167)/10*3+K167</f>
        <v>1441.3954127506488</v>
      </c>
      <c r="L170" s="797">
        <f>(L177-L167)/10*3+L167</f>
        <v>1634.937140434331</v>
      </c>
      <c r="M170" s="798">
        <f>(M177-M167)/10*3+M167</f>
        <v>2172.7686468869329</v>
      </c>
    </row>
    <row r="171" spans="1:13" hidden="1" x14ac:dyDescent="0.2">
      <c r="A171" s="793">
        <v>13.4</v>
      </c>
      <c r="D171" s="482"/>
      <c r="H171" s="797">
        <f t="shared" ref="H171:I171" si="121">(H177-H167)/10*4+H167</f>
        <v>757.38666426839757</v>
      </c>
      <c r="I171" s="798">
        <f t="shared" si="121"/>
        <v>922.83541978444464</v>
      </c>
      <c r="J171" s="797">
        <f>(J177-J167)/10*4+J167</f>
        <v>1400.5916685279949</v>
      </c>
      <c r="K171" s="798">
        <f>(K177-K167)/10*4+K167</f>
        <v>1454.3755126549806</v>
      </c>
      <c r="L171" s="797">
        <f>(L177-L167)/10*4+L167</f>
        <v>1649.1463399499403</v>
      </c>
      <c r="M171" s="798">
        <f>(M177-M167)/10*4+M167</f>
        <v>2191.8115857995849</v>
      </c>
    </row>
    <row r="172" spans="1:13" hidden="1" x14ac:dyDescent="0.2">
      <c r="A172" s="793">
        <v>13.5</v>
      </c>
      <c r="D172" s="482"/>
      <c r="H172" s="797">
        <f t="shared" ref="H172:I172" si="122">(H177-H167)/10*5+H167</f>
        <v>763.22486884774571</v>
      </c>
      <c r="I172" s="798">
        <f t="shared" si="122"/>
        <v>931.36131412620512</v>
      </c>
      <c r="J172" s="797">
        <f>(J177-J167)/10*5+J167</f>
        <v>1408.5065615911612</v>
      </c>
      <c r="K172" s="798">
        <f>(K177-K167)/10*5+K167</f>
        <v>1467.3556125593127</v>
      </c>
      <c r="L172" s="797">
        <f>(L177-L167)/10*5+L167</f>
        <v>1663.3555394655498</v>
      </c>
      <c r="M172" s="798">
        <f>(M177-M167)/10*5+M167</f>
        <v>2210.8545247122374</v>
      </c>
    </row>
    <row r="173" spans="1:13" hidden="1" x14ac:dyDescent="0.2">
      <c r="A173" s="793">
        <v>13.6</v>
      </c>
      <c r="D173" s="482"/>
      <c r="H173" s="797">
        <f t="shared" ref="H173:I173" si="123">(H177-H167)/10*6+H167</f>
        <v>769.06307342709374</v>
      </c>
      <c r="I173" s="798">
        <f t="shared" si="123"/>
        <v>939.88720846796548</v>
      </c>
      <c r="J173" s="797">
        <f>(J177-J167)/10*6+J167</f>
        <v>1416.4214546543276</v>
      </c>
      <c r="K173" s="798">
        <f>(K177-K167)/10*6+K167</f>
        <v>1480.3357124636445</v>
      </c>
      <c r="L173" s="797">
        <f>(L177-L167)/10*6+L167</f>
        <v>1677.5647389811593</v>
      </c>
      <c r="M173" s="798">
        <f>(M177-M167)/10*6+M167</f>
        <v>2229.8974636248895</v>
      </c>
    </row>
    <row r="174" spans="1:13" hidden="1" x14ac:dyDescent="0.2">
      <c r="A174" s="793">
        <v>13.7</v>
      </c>
      <c r="D174" s="482"/>
      <c r="H174" s="797">
        <f t="shared" ref="H174:I174" si="124">(H177-H167)/10*7+H167</f>
        <v>774.90127800644188</v>
      </c>
      <c r="I174" s="798">
        <f t="shared" si="124"/>
        <v>948.41310280972584</v>
      </c>
      <c r="J174" s="797">
        <f>(J177-J167)/10*7+J167</f>
        <v>1424.3363477174937</v>
      </c>
      <c r="K174" s="798">
        <f>(K177-K167)/10*7+K167</f>
        <v>1493.3158123679764</v>
      </c>
      <c r="L174" s="797">
        <f>(L177-L167)/10*7+L167</f>
        <v>1691.7739384967686</v>
      </c>
      <c r="M174" s="798">
        <f>(M177-M167)/10*7+M167</f>
        <v>2248.9404025375416</v>
      </c>
    </row>
    <row r="175" spans="1:13" hidden="1" x14ac:dyDescent="0.2">
      <c r="A175" s="793">
        <v>13.8</v>
      </c>
      <c r="D175" s="482"/>
      <c r="H175" s="797">
        <f t="shared" ref="H175:I175" si="125">(H177-H167)/10*8+H167</f>
        <v>780.73948258579003</v>
      </c>
      <c r="I175" s="798">
        <f t="shared" si="125"/>
        <v>956.93899715148621</v>
      </c>
      <c r="J175" s="797">
        <f>(J177-J167)/10*8+J167</f>
        <v>1432.2512407806601</v>
      </c>
      <c r="K175" s="798">
        <f>(K177-K167)/10*8+K167</f>
        <v>1506.2959122723082</v>
      </c>
      <c r="L175" s="797">
        <f>(L177-L167)/10*8+L167</f>
        <v>1705.983138012378</v>
      </c>
      <c r="M175" s="798">
        <f>(M177-M167)/10*8+M167</f>
        <v>2267.9833414501936</v>
      </c>
    </row>
    <row r="176" spans="1:13" hidden="1" x14ac:dyDescent="0.2">
      <c r="A176" s="793">
        <v>13.9</v>
      </c>
      <c r="D176" s="482"/>
      <c r="H176" s="797">
        <f t="shared" ref="H176:I176" si="126">(H177-H167)/10*9+H167</f>
        <v>786.57768716513806</v>
      </c>
      <c r="I176" s="798">
        <f t="shared" si="126"/>
        <v>965.46489149324668</v>
      </c>
      <c r="J176" s="797">
        <f>(J177-J167)/10*9+J167</f>
        <v>1440.1661338438262</v>
      </c>
      <c r="K176" s="798">
        <f>(K177-K167)/10*9+K167</f>
        <v>1519.2760121766403</v>
      </c>
      <c r="L176" s="797">
        <f>(L177-L167)/10*9+L167</f>
        <v>1720.1923375279873</v>
      </c>
      <c r="M176" s="798">
        <f>(M177-M167)/10*9+M167</f>
        <v>2287.0262803628461</v>
      </c>
    </row>
    <row r="177" spans="1:13" hidden="1" x14ac:dyDescent="0.2">
      <c r="A177" s="793">
        <v>14</v>
      </c>
      <c r="D177" s="482"/>
      <c r="H177" s="797">
        <v>792.4158917444862</v>
      </c>
      <c r="I177" s="798">
        <v>973.99078583500705</v>
      </c>
      <c r="J177" s="797">
        <v>1448.0810269069925</v>
      </c>
      <c r="K177" s="798">
        <v>1532.2561120809721</v>
      </c>
      <c r="L177" s="797">
        <v>1734.4015370435968</v>
      </c>
      <c r="M177" s="798">
        <v>2306.0692192754982</v>
      </c>
    </row>
    <row r="178" spans="1:13" hidden="1" x14ac:dyDescent="0.2">
      <c r="A178" s="793">
        <v>14.1</v>
      </c>
      <c r="D178" s="482"/>
      <c r="H178" s="797">
        <f t="shared" ref="H178:I178" si="127">(H187-H177)/10*1+H177</f>
        <v>797.5109437760708</v>
      </c>
      <c r="I178" s="798">
        <f t="shared" si="127"/>
        <v>981.01854359323659</v>
      </c>
      <c r="J178" s="797">
        <f>(J187-J177)/10*1+J177</f>
        <v>1460.338036997174</v>
      </c>
      <c r="K178" s="798">
        <f>(K187-K177)/10*1+K177</f>
        <v>1545.6621432429804</v>
      </c>
      <c r="L178" s="797">
        <f>(L187-L177)/10*1+L177</f>
        <v>1741.3877627052057</v>
      </c>
      <c r="M178" s="798">
        <f>(M187-M177)/10*1+M177</f>
        <v>2325.8085497750671</v>
      </c>
    </row>
    <row r="179" spans="1:13" hidden="1" x14ac:dyDescent="0.2">
      <c r="A179" s="793">
        <v>14.2</v>
      </c>
      <c r="D179" s="482"/>
      <c r="H179" s="797">
        <f t="shared" ref="H179:I179" si="128">(H187-H177)/10*2+H177</f>
        <v>802.60599580765552</v>
      </c>
      <c r="I179" s="798">
        <f t="shared" si="128"/>
        <v>988.04630135146613</v>
      </c>
      <c r="J179" s="797">
        <f>(J187-J177)/10*2+J177</f>
        <v>1472.5950470873554</v>
      </c>
      <c r="K179" s="798">
        <f>(K187-K177)/10*2+K177</f>
        <v>1559.0681744049887</v>
      </c>
      <c r="L179" s="797">
        <f>(L187-L177)/10*2+L177</f>
        <v>1748.3739883668143</v>
      </c>
      <c r="M179" s="798">
        <f>(M187-M177)/10*2+M177</f>
        <v>2345.5478802746361</v>
      </c>
    </row>
    <row r="180" spans="1:13" hidden="1" x14ac:dyDescent="0.2">
      <c r="A180" s="793">
        <v>14.3</v>
      </c>
      <c r="D180" s="482"/>
      <c r="H180" s="797">
        <f t="shared" ref="H180:I180" si="129">(H187-H177)/10*3+H177</f>
        <v>807.70104783924012</v>
      </c>
      <c r="I180" s="798">
        <f t="shared" si="129"/>
        <v>995.07405910969578</v>
      </c>
      <c r="J180" s="797">
        <f>(J187-J177)/10*3+J177</f>
        <v>1484.8520571775368</v>
      </c>
      <c r="K180" s="798">
        <f>(K187-K177)/10*3+K177</f>
        <v>1572.4742055669969</v>
      </c>
      <c r="L180" s="797">
        <f>(L187-L177)/10*3+L177</f>
        <v>1755.3602140284229</v>
      </c>
      <c r="M180" s="798">
        <f>(M187-M177)/10*3+M177</f>
        <v>2365.2872107742051</v>
      </c>
    </row>
    <row r="181" spans="1:13" hidden="1" x14ac:dyDescent="0.2">
      <c r="A181" s="793">
        <v>14.4</v>
      </c>
      <c r="D181" s="482"/>
      <c r="H181" s="797">
        <f t="shared" ref="H181:I181" si="130">(H187-H177)/10*4+H177</f>
        <v>812.79609987082472</v>
      </c>
      <c r="I181" s="798">
        <f t="shared" si="130"/>
        <v>1002.1018168679253</v>
      </c>
      <c r="J181" s="797">
        <f>(J187-J177)/10*4+J177</f>
        <v>1497.1090672677183</v>
      </c>
      <c r="K181" s="798">
        <f>(K187-K177)/10*4+K177</f>
        <v>1585.8802367290052</v>
      </c>
      <c r="L181" s="797">
        <f>(L187-L177)/10*4+L177</f>
        <v>1762.3464396900317</v>
      </c>
      <c r="M181" s="798">
        <f>(M187-M177)/10*4+M177</f>
        <v>2385.026541273774</v>
      </c>
    </row>
    <row r="182" spans="1:13" hidden="1" x14ac:dyDescent="0.2">
      <c r="A182" s="793">
        <v>14.5</v>
      </c>
      <c r="D182" s="482"/>
      <c r="H182" s="797">
        <f t="shared" ref="H182:I182" si="131">(H187-H177)/10*5+H177</f>
        <v>817.89115190240932</v>
      </c>
      <c r="I182" s="798">
        <f t="shared" si="131"/>
        <v>1009.1295746261549</v>
      </c>
      <c r="J182" s="797">
        <f>(J187-J177)/10*5+J177</f>
        <v>1509.3660773578995</v>
      </c>
      <c r="K182" s="798">
        <f>(K187-K177)/10*5+K177</f>
        <v>1599.2862678910135</v>
      </c>
      <c r="L182" s="797">
        <f>(L187-L177)/10*5+L177</f>
        <v>1769.3326653516406</v>
      </c>
      <c r="M182" s="798">
        <f>(M187-M177)/10*5+M177</f>
        <v>2404.765871773343</v>
      </c>
    </row>
    <row r="183" spans="1:13" hidden="1" x14ac:dyDescent="0.2">
      <c r="A183" s="793">
        <v>14.6</v>
      </c>
      <c r="D183" s="482"/>
      <c r="H183" s="797">
        <f t="shared" ref="H183:I183" si="132">(H187-H177)/10*6+H177</f>
        <v>822.98620393399403</v>
      </c>
      <c r="I183" s="798">
        <f t="shared" si="132"/>
        <v>1016.1573323843844</v>
      </c>
      <c r="J183" s="797">
        <f>(J187-J177)/10*6+J177</f>
        <v>1521.6230874480809</v>
      </c>
      <c r="K183" s="798">
        <f>(K187-K177)/10*6+K177</f>
        <v>1612.6922990530218</v>
      </c>
      <c r="L183" s="797">
        <f>(L187-L177)/10*6+L177</f>
        <v>1776.3188910132492</v>
      </c>
      <c r="M183" s="798">
        <f>(M187-M177)/10*6+M177</f>
        <v>2424.5052022729114</v>
      </c>
    </row>
    <row r="184" spans="1:13" hidden="1" x14ac:dyDescent="0.2">
      <c r="A184" s="793">
        <v>14.7</v>
      </c>
      <c r="D184" s="482"/>
      <c r="H184" s="797">
        <f t="shared" ref="H184:I184" si="133">(H187-H177)/10*7+H177</f>
        <v>828.08125596557863</v>
      </c>
      <c r="I184" s="798">
        <f t="shared" si="133"/>
        <v>1023.1850901426139</v>
      </c>
      <c r="J184" s="797">
        <f>(J187-J177)/10*7+J177</f>
        <v>1533.8800975382624</v>
      </c>
      <c r="K184" s="798">
        <f>(K187-K177)/10*7+K177</f>
        <v>1626.09833021503</v>
      </c>
      <c r="L184" s="797">
        <f>(L187-L177)/10*7+L177</f>
        <v>1783.3051166748578</v>
      </c>
      <c r="M184" s="798">
        <f>(M187-M177)/10*7+M177</f>
        <v>2444.2445327724804</v>
      </c>
    </row>
    <row r="185" spans="1:13" hidden="1" x14ac:dyDescent="0.2">
      <c r="A185" s="793">
        <v>14.8</v>
      </c>
      <c r="D185" s="482"/>
      <c r="H185" s="797">
        <f t="shared" ref="H185:I185" si="134">(H187-H177)/10*8+H177</f>
        <v>833.17630799716324</v>
      </c>
      <c r="I185" s="798">
        <f t="shared" si="134"/>
        <v>1030.2128479008436</v>
      </c>
      <c r="J185" s="797">
        <f>(J187-J177)/10*8+J177</f>
        <v>1546.1371076284438</v>
      </c>
      <c r="K185" s="798">
        <f>(K187-K177)/10*8+K177</f>
        <v>1639.5043613770383</v>
      </c>
      <c r="L185" s="797">
        <f>(L187-L177)/10*8+L177</f>
        <v>1790.2913423364666</v>
      </c>
      <c r="M185" s="798">
        <f>(M187-M177)/10*8+M177</f>
        <v>2463.9838632720493</v>
      </c>
    </row>
    <row r="186" spans="1:13" hidden="1" x14ac:dyDescent="0.2">
      <c r="A186" s="793">
        <v>14.9</v>
      </c>
      <c r="D186" s="482"/>
      <c r="H186" s="797">
        <f t="shared" ref="H186:I186" si="135">(H187-H177)/10*9+H177</f>
        <v>838.27136002874795</v>
      </c>
      <c r="I186" s="798">
        <f t="shared" si="135"/>
        <v>1037.240605659073</v>
      </c>
      <c r="J186" s="797">
        <f>(J187-J177)/10*9+J177</f>
        <v>1558.3941177186252</v>
      </c>
      <c r="K186" s="798">
        <f>(K187-K177)/10*9+K177</f>
        <v>1652.9103925390466</v>
      </c>
      <c r="L186" s="797">
        <f>(L187-L177)/10*9+L177</f>
        <v>1797.2775679980755</v>
      </c>
      <c r="M186" s="798">
        <f>(M187-M177)/10*9+M177</f>
        <v>2483.7231937716183</v>
      </c>
    </row>
    <row r="187" spans="1:13" hidden="1" x14ac:dyDescent="0.2">
      <c r="A187" s="793">
        <v>15</v>
      </c>
      <c r="D187" s="482"/>
      <c r="H187" s="797">
        <v>843.36641206033255</v>
      </c>
      <c r="I187" s="798">
        <v>1044.2683634173027</v>
      </c>
      <c r="J187" s="797">
        <v>1570.6511278088067</v>
      </c>
      <c r="K187" s="798">
        <v>1666.3164237010549</v>
      </c>
      <c r="L187" s="797">
        <v>1804.2637936596841</v>
      </c>
      <c r="M187" s="798">
        <v>2503.4625242711872</v>
      </c>
    </row>
    <row r="188" spans="1:13" hidden="1" x14ac:dyDescent="0.2">
      <c r="A188" s="793">
        <v>15.1</v>
      </c>
      <c r="D188" s="482"/>
      <c r="H188" s="797">
        <f t="shared" ref="H188:I188" si="136">(H197-H187)/10*1+H187</f>
        <v>850.20256662209522</v>
      </c>
      <c r="I188" s="798">
        <f t="shared" si="136"/>
        <v>1049.7194438911638</v>
      </c>
      <c r="J188" s="797">
        <f>(J197-J187)/10*1+J187</f>
        <v>1583.2075613799154</v>
      </c>
      <c r="K188" s="798">
        <f>(K197-K187)/10*1+K187</f>
        <v>1678.5451784413642</v>
      </c>
      <c r="L188" s="797">
        <f>(L197-L187)/10*1+L187</f>
        <v>1820.7239340597216</v>
      </c>
      <c r="M188" s="798">
        <f>(M197-M187)/10*1+M187</f>
        <v>2525.4659404194986</v>
      </c>
    </row>
    <row r="189" spans="1:13" hidden="1" x14ac:dyDescent="0.2">
      <c r="A189" s="793">
        <v>15.2</v>
      </c>
      <c r="D189" s="482"/>
      <c r="H189" s="797">
        <f t="shared" ref="H189:I189" si="137">(H197-H187)/10*2+H187</f>
        <v>857.038721183858</v>
      </c>
      <c r="I189" s="798">
        <f t="shared" si="137"/>
        <v>1055.1705243650249</v>
      </c>
      <c r="J189" s="797">
        <f>(J197-J187)/10*2+J187</f>
        <v>1595.7639949510242</v>
      </c>
      <c r="K189" s="798">
        <f>(K197-K187)/10*2+K187</f>
        <v>1690.7739331816736</v>
      </c>
      <c r="L189" s="797">
        <f>(L197-L187)/10*2+L187</f>
        <v>1837.1840744597594</v>
      </c>
      <c r="M189" s="798">
        <f>(M197-M187)/10*2+M187</f>
        <v>2547.4693565678099</v>
      </c>
    </row>
    <row r="190" spans="1:13" hidden="1" x14ac:dyDescent="0.2">
      <c r="A190" s="793">
        <v>15.3</v>
      </c>
      <c r="D190" s="482"/>
      <c r="H190" s="797">
        <f t="shared" ref="H190:I190" si="138">(H197-H187)/10*3+H187</f>
        <v>863.87487574562067</v>
      </c>
      <c r="I190" s="798">
        <f t="shared" si="138"/>
        <v>1060.6216048388858</v>
      </c>
      <c r="J190" s="797">
        <f>(J197-J187)/10*3+J187</f>
        <v>1608.3204285221332</v>
      </c>
      <c r="K190" s="798">
        <f>(K197-K187)/10*3+K187</f>
        <v>1703.0026879219829</v>
      </c>
      <c r="L190" s="797">
        <f>(L197-L187)/10*3+L187</f>
        <v>1853.6442148597971</v>
      </c>
      <c r="M190" s="798">
        <f>(M197-M187)/10*3+M187</f>
        <v>2569.4727727161207</v>
      </c>
    </row>
    <row r="191" spans="1:13" hidden="1" x14ac:dyDescent="0.2">
      <c r="A191" s="793">
        <v>15.4</v>
      </c>
      <c r="D191" s="482"/>
      <c r="H191" s="797">
        <f t="shared" ref="H191:I191" si="139">(H197-H187)/10*4+H187</f>
        <v>870.71103030738345</v>
      </c>
      <c r="I191" s="798">
        <f t="shared" si="139"/>
        <v>1066.0726853127469</v>
      </c>
      <c r="J191" s="797">
        <f>(J197-J187)/10*4+J187</f>
        <v>1620.8768620932419</v>
      </c>
      <c r="K191" s="798">
        <f>(K197-K187)/10*4+K187</f>
        <v>1715.2314426622922</v>
      </c>
      <c r="L191" s="797">
        <f>(L197-L187)/10*4+L187</f>
        <v>1870.1043552598346</v>
      </c>
      <c r="M191" s="798">
        <f>(M197-M187)/10*4+M187</f>
        <v>2591.4761888644321</v>
      </c>
    </row>
    <row r="192" spans="1:13" hidden="1" x14ac:dyDescent="0.2">
      <c r="A192" s="793">
        <v>15.5</v>
      </c>
      <c r="D192" s="482"/>
      <c r="H192" s="797">
        <f t="shared" ref="H192:I192" si="140">(H197-H187)/10*5+H187</f>
        <v>877.54718486914612</v>
      </c>
      <c r="I192" s="798">
        <f t="shared" si="140"/>
        <v>1071.523765786608</v>
      </c>
      <c r="J192" s="797">
        <f>(J197-J187)/10*5+J187</f>
        <v>1633.4332956643507</v>
      </c>
      <c r="K192" s="798">
        <f>(K197-K187)/10*5+K187</f>
        <v>1727.4601974026018</v>
      </c>
      <c r="L192" s="797">
        <f>(L197-L187)/10*5+L187</f>
        <v>1886.5644956598721</v>
      </c>
      <c r="M192" s="798">
        <f>(M197-M187)/10*5+M187</f>
        <v>2613.4796050127434</v>
      </c>
    </row>
    <row r="193" spans="1:13" hidden="1" x14ac:dyDescent="0.2">
      <c r="A193" s="793">
        <v>15.6</v>
      </c>
      <c r="D193" s="482"/>
      <c r="H193" s="797">
        <f t="shared" ref="H193:I193" si="141">(H197-H187)/10*6+H187</f>
        <v>884.38333943090879</v>
      </c>
      <c r="I193" s="798">
        <f t="shared" si="141"/>
        <v>1076.9748462604691</v>
      </c>
      <c r="J193" s="797">
        <f>(J197-J187)/10*6+J187</f>
        <v>1645.9897292354594</v>
      </c>
      <c r="K193" s="798">
        <f>(K197-K187)/10*6+K187</f>
        <v>1739.6889521429111</v>
      </c>
      <c r="L193" s="797">
        <f>(L197-L187)/10*6+L187</f>
        <v>1903.0246360599099</v>
      </c>
      <c r="M193" s="798">
        <f>(M197-M187)/10*6+M187</f>
        <v>2635.4830211610547</v>
      </c>
    </row>
    <row r="194" spans="1:13" hidden="1" x14ac:dyDescent="0.2">
      <c r="A194" s="793">
        <v>15.7</v>
      </c>
      <c r="D194" s="482"/>
      <c r="H194" s="797">
        <f t="shared" ref="H194:I194" si="142">(H197-H187)/10*7+H187</f>
        <v>891.21949399267157</v>
      </c>
      <c r="I194" s="798">
        <f t="shared" si="142"/>
        <v>1082.4259267343302</v>
      </c>
      <c r="J194" s="797">
        <f>(J197-J187)/10*7+J187</f>
        <v>1658.5461628065682</v>
      </c>
      <c r="K194" s="798">
        <f>(K197-K187)/10*7+K187</f>
        <v>1751.9177068832205</v>
      </c>
      <c r="L194" s="797">
        <f>(L197-L187)/10*7+L187</f>
        <v>1919.4847764599476</v>
      </c>
      <c r="M194" s="798">
        <f>(M197-M187)/10*7+M187</f>
        <v>2657.486437309366</v>
      </c>
    </row>
    <row r="195" spans="1:13" hidden="1" x14ac:dyDescent="0.2">
      <c r="A195" s="793">
        <v>15.8</v>
      </c>
      <c r="D195" s="482"/>
      <c r="H195" s="797">
        <f t="shared" ref="H195:I195" si="143">(H197-H187)/10*8+H187</f>
        <v>898.05564855443424</v>
      </c>
      <c r="I195" s="798">
        <f t="shared" si="143"/>
        <v>1087.8770072081911</v>
      </c>
      <c r="J195" s="797">
        <f>(J197-J187)/10*8+J187</f>
        <v>1671.1025963776772</v>
      </c>
      <c r="K195" s="798">
        <f>(K197-K187)/10*8+K187</f>
        <v>1764.1464616235298</v>
      </c>
      <c r="L195" s="797">
        <f>(L197-L187)/10*8+L187</f>
        <v>1935.9449168599851</v>
      </c>
      <c r="M195" s="798">
        <f>(M197-M187)/10*8+M187</f>
        <v>2679.4898534576769</v>
      </c>
    </row>
    <row r="196" spans="1:13" hidden="1" x14ac:dyDescent="0.2">
      <c r="A196" s="793">
        <v>15.9</v>
      </c>
      <c r="D196" s="482"/>
      <c r="H196" s="797">
        <f t="shared" ref="H196:I196" si="144">(H197-H187)/10*9+H187</f>
        <v>904.89180311619702</v>
      </c>
      <c r="I196" s="798">
        <f t="shared" si="144"/>
        <v>1093.3280876820522</v>
      </c>
      <c r="J196" s="797">
        <f>(J197-J187)/10*9+J187</f>
        <v>1683.6590299487859</v>
      </c>
      <c r="K196" s="798">
        <f>(K197-K187)/10*9+K187</f>
        <v>1776.3752163638392</v>
      </c>
      <c r="L196" s="797">
        <f>(L197-L187)/10*9+L187</f>
        <v>1952.4050572600227</v>
      </c>
      <c r="M196" s="798">
        <f>(M197-M187)/10*9+M187</f>
        <v>2701.4932696059882</v>
      </c>
    </row>
    <row r="197" spans="1:13" hidden="1" x14ac:dyDescent="0.2">
      <c r="A197" s="793">
        <v>16</v>
      </c>
      <c r="D197" s="482"/>
      <c r="H197" s="797">
        <v>911.72795767795969</v>
      </c>
      <c r="I197" s="798">
        <v>1098.7791681559133</v>
      </c>
      <c r="J197" s="797">
        <v>1696.2154635198947</v>
      </c>
      <c r="K197" s="798">
        <v>1788.6039711041485</v>
      </c>
      <c r="L197" s="797">
        <v>1968.8651976600604</v>
      </c>
      <c r="M197" s="798">
        <v>2723.4966857542995</v>
      </c>
    </row>
    <row r="198" spans="1:13" hidden="1" x14ac:dyDescent="0.2">
      <c r="A198" s="793">
        <v>16.100000000000001</v>
      </c>
      <c r="D198" s="482"/>
      <c r="J198" s="797">
        <f>(J207-J197)/10*1+J197</f>
        <v>1709.8092183805882</v>
      </c>
      <c r="K198" s="798">
        <f>(K207-K197)/10*1+K197</f>
        <v>1803.3003343986124</v>
      </c>
      <c r="L198" s="797">
        <f>(L207-L197)/10*1+L197</f>
        <v>1985.9805947788745</v>
      </c>
      <c r="M198" s="798">
        <f>(M207-M197)/10*1+M197</f>
        <v>2743.5280143450341</v>
      </c>
    </row>
    <row r="199" spans="1:13" hidden="1" x14ac:dyDescent="0.2">
      <c r="A199" s="793">
        <v>16.2</v>
      </c>
      <c r="D199" s="482"/>
      <c r="J199" s="797">
        <f>(J207-J197)/10*2+J197</f>
        <v>1723.4029732412814</v>
      </c>
      <c r="K199" s="798">
        <f>(K207-K197)/10*2+K197</f>
        <v>1817.9966976930766</v>
      </c>
      <c r="L199" s="797">
        <f>(L207-L197)/10*2+L197</f>
        <v>2003.0959918976887</v>
      </c>
      <c r="M199" s="798">
        <f>(M207-M197)/10*2+M197</f>
        <v>2763.5593429357682</v>
      </c>
    </row>
    <row r="200" spans="1:13" hidden="1" x14ac:dyDescent="0.2">
      <c r="A200" s="793">
        <v>16.3</v>
      </c>
      <c r="D200" s="482"/>
      <c r="J200" s="797">
        <f>(J207-J197)/10*3+J197</f>
        <v>1736.9967281019749</v>
      </c>
      <c r="K200" s="798">
        <f>(K207-K197)/10*3+K197</f>
        <v>1832.6930609875405</v>
      </c>
      <c r="L200" s="797">
        <f>(L207-L197)/10*3+L197</f>
        <v>2020.2113890165031</v>
      </c>
      <c r="M200" s="798">
        <f>(M207-M197)/10*3+M197</f>
        <v>2783.5906715265028</v>
      </c>
    </row>
    <row r="201" spans="1:13" hidden="1" x14ac:dyDescent="0.2">
      <c r="A201" s="793">
        <v>16.399999999999999</v>
      </c>
      <c r="D201" s="482"/>
      <c r="J201" s="797">
        <f>(J207-J197)/10*4+J197</f>
        <v>1750.5904829626684</v>
      </c>
      <c r="K201" s="798">
        <f>(K207-K197)/10*4+K197</f>
        <v>1847.3894242820047</v>
      </c>
      <c r="L201" s="797">
        <f>(L207-L197)/10*4+L197</f>
        <v>2037.3267861353172</v>
      </c>
      <c r="M201" s="798">
        <f>(M207-M197)/10*4+M197</f>
        <v>2803.6220001172369</v>
      </c>
    </row>
    <row r="202" spans="1:13" hidden="1" x14ac:dyDescent="0.2">
      <c r="A202" s="793">
        <v>16.5</v>
      </c>
      <c r="D202" s="482"/>
      <c r="J202" s="797">
        <f>(J207-J197)/10*5+J197</f>
        <v>1764.1842378233619</v>
      </c>
      <c r="K202" s="798">
        <f>(K207-K197)/10*5+K197</f>
        <v>1862.0857875764686</v>
      </c>
      <c r="L202" s="797">
        <f>(L207-L197)/10*5+L197</f>
        <v>2054.4421832541311</v>
      </c>
      <c r="M202" s="798">
        <f>(M207-M197)/10*5+M197</f>
        <v>2823.6533287079715</v>
      </c>
    </row>
    <row r="203" spans="1:13" hidden="1" x14ac:dyDescent="0.2">
      <c r="A203" s="793">
        <v>16.600000000000001</v>
      </c>
      <c r="D203" s="482"/>
      <c r="J203" s="797">
        <f>(J207-J197)/10*6+J197</f>
        <v>1777.7779926840551</v>
      </c>
      <c r="K203" s="798">
        <f>(K207-K197)/10*6+K197</f>
        <v>1876.7821508709326</v>
      </c>
      <c r="L203" s="797">
        <f>(L207-L197)/10*6+L197</f>
        <v>2071.5575803729457</v>
      </c>
      <c r="M203" s="798">
        <f>(M207-M197)/10*6+M197</f>
        <v>2843.684657298706</v>
      </c>
    </row>
    <row r="204" spans="1:13" hidden="1" x14ac:dyDescent="0.2">
      <c r="A204" s="793">
        <v>16.7</v>
      </c>
      <c r="D204" s="482"/>
      <c r="J204" s="797">
        <f>(J207-J197)/10*7+J197</f>
        <v>1791.3717475447486</v>
      </c>
      <c r="K204" s="798">
        <f>(K207-K197)/10*7+K197</f>
        <v>1891.4785141653967</v>
      </c>
      <c r="L204" s="797">
        <f>(L207-L197)/10*7+L197</f>
        <v>2088.6729774917599</v>
      </c>
      <c r="M204" s="798">
        <f>(M207-M197)/10*7+M197</f>
        <v>2863.7159858894402</v>
      </c>
    </row>
    <row r="205" spans="1:13" hidden="1" x14ac:dyDescent="0.2">
      <c r="A205" s="793">
        <v>16.8</v>
      </c>
      <c r="D205" s="482"/>
      <c r="J205" s="797">
        <f>(J207-J197)/10*8+J197</f>
        <v>1804.9655024054421</v>
      </c>
      <c r="K205" s="798">
        <f>(K207-K197)/10*8+K197</f>
        <v>1906.1748774598607</v>
      </c>
      <c r="L205" s="797">
        <f>(L207-L197)/10*8+L197</f>
        <v>2105.788374610574</v>
      </c>
      <c r="M205" s="798">
        <f>(M207-M197)/10*8+M197</f>
        <v>2883.7473144801747</v>
      </c>
    </row>
    <row r="206" spans="1:13" hidden="1" x14ac:dyDescent="0.2">
      <c r="A206" s="793">
        <v>16.899999999999999</v>
      </c>
      <c r="D206" s="482"/>
      <c r="J206" s="797">
        <f>(J207-J197)/10*9+J197</f>
        <v>1818.5592572661353</v>
      </c>
      <c r="K206" s="798">
        <f>(K207-K197)/10*9+K197</f>
        <v>1920.8712407543248</v>
      </c>
      <c r="L206" s="797">
        <f>(L207-L197)/10*9+L197</f>
        <v>2122.9037717293882</v>
      </c>
      <c r="M206" s="798">
        <f>(M207-M197)/10*9+M197</f>
        <v>2903.7786430709089</v>
      </c>
    </row>
    <row r="207" spans="1:13" hidden="1" x14ac:dyDescent="0.2">
      <c r="A207" s="793">
        <v>17</v>
      </c>
      <c r="D207" s="482"/>
      <c r="J207" s="797">
        <v>1832.1530121268288</v>
      </c>
      <c r="K207" s="798">
        <v>1935.5676040487888</v>
      </c>
      <c r="L207" s="797">
        <v>2140.0191688482023</v>
      </c>
      <c r="M207" s="798">
        <v>2923.8099716616434</v>
      </c>
    </row>
    <row r="208" spans="1:13" hidden="1" x14ac:dyDescent="0.2">
      <c r="A208" s="793">
        <v>17.100000000000001</v>
      </c>
      <c r="D208" s="482"/>
      <c r="J208" s="797">
        <f>(J217-J207)/10*1+J207</f>
        <v>1842.4906341143819</v>
      </c>
      <c r="K208" s="798">
        <f>(K217-K207)/10*1+K207</f>
        <v>1951.0868473425894</v>
      </c>
      <c r="L208" s="797">
        <f>(L217-L207)/10*1+L207</f>
        <v>2158.2217240687933</v>
      </c>
      <c r="M208" s="798">
        <f>(M217-M207)/10*1+M207</f>
        <v>2945.2511813530355</v>
      </c>
    </row>
    <row r="209" spans="1:13" hidden="1" x14ac:dyDescent="0.2">
      <c r="A209" s="793">
        <v>17.2</v>
      </c>
      <c r="D209" s="482"/>
      <c r="J209" s="797">
        <f>(J217-J207)/10*2+J207</f>
        <v>1852.8282561019348</v>
      </c>
      <c r="K209" s="798">
        <f>(K217-K207)/10*2+K207</f>
        <v>1966.60609063639</v>
      </c>
      <c r="L209" s="797">
        <f>(L217-L207)/10*2+L207</f>
        <v>2176.4242792893847</v>
      </c>
      <c r="M209" s="798">
        <f>(M217-M207)/10*2+M207</f>
        <v>2966.6923910444275</v>
      </c>
    </row>
    <row r="210" spans="1:13" hidden="1" x14ac:dyDescent="0.2">
      <c r="A210" s="793">
        <v>17.3</v>
      </c>
      <c r="D210" s="482"/>
      <c r="J210" s="797">
        <f>(J217-J207)/10*3+J207</f>
        <v>1863.1658780894877</v>
      </c>
      <c r="K210" s="798">
        <f>(K217-K207)/10*3+K207</f>
        <v>1982.1253339301907</v>
      </c>
      <c r="L210" s="797">
        <f>(L217-L207)/10*3+L207</f>
        <v>2194.6268345099761</v>
      </c>
      <c r="M210" s="798">
        <f>(M217-M207)/10*3+M207</f>
        <v>2988.1336007358195</v>
      </c>
    </row>
    <row r="211" spans="1:13" hidden="1" x14ac:dyDescent="0.2">
      <c r="A211" s="793">
        <v>17.399999999999999</v>
      </c>
      <c r="D211" s="482"/>
      <c r="J211" s="797">
        <f>(J217-J207)/10*4+J207</f>
        <v>1873.5035000770408</v>
      </c>
      <c r="K211" s="798">
        <f>(K217-K207)/10*4+K207</f>
        <v>1997.6445772239913</v>
      </c>
      <c r="L211" s="797">
        <f>(L217-L207)/10*4+L207</f>
        <v>2212.8293897305671</v>
      </c>
      <c r="M211" s="798">
        <f>(M217-M207)/10*4+M207</f>
        <v>3009.5748104272116</v>
      </c>
    </row>
    <row r="212" spans="1:13" hidden="1" x14ac:dyDescent="0.2">
      <c r="A212" s="793">
        <v>17.5</v>
      </c>
      <c r="D212" s="482"/>
      <c r="J212" s="797">
        <f>(J217-J207)/10*5+J207</f>
        <v>1883.8411220645939</v>
      </c>
      <c r="K212" s="798">
        <f>(K217-K207)/10*5+K207</f>
        <v>2013.1638205177919</v>
      </c>
      <c r="L212" s="797">
        <f>(L217-L207)/10*5+L207</f>
        <v>2231.031944951158</v>
      </c>
      <c r="M212" s="798">
        <f>(M217-M207)/10*5+M207</f>
        <v>3031.0160201186036</v>
      </c>
    </row>
    <row r="213" spans="1:13" hidden="1" x14ac:dyDescent="0.2">
      <c r="A213" s="793">
        <v>17.600000000000001</v>
      </c>
      <c r="D213" s="482"/>
      <c r="J213" s="797">
        <f>(J217-J207)/10*6+J207</f>
        <v>1894.1787440521468</v>
      </c>
      <c r="K213" s="798">
        <f>(K217-K207)/10*6+K207</f>
        <v>2028.6830638115925</v>
      </c>
      <c r="L213" s="797">
        <f>(L217-L207)/10*6+L207</f>
        <v>2249.2345001717495</v>
      </c>
      <c r="M213" s="798">
        <f>(M217-M207)/10*6+M207</f>
        <v>3052.4572298099961</v>
      </c>
    </row>
    <row r="214" spans="1:13" hidden="1" x14ac:dyDescent="0.2">
      <c r="A214" s="793">
        <v>17.7</v>
      </c>
      <c r="D214" s="482"/>
      <c r="J214" s="797">
        <f>(J217-J207)/10*7+J207</f>
        <v>1904.5163660396997</v>
      </c>
      <c r="K214" s="798">
        <f>(K217-K207)/10*7+K207</f>
        <v>2044.2023071053932</v>
      </c>
      <c r="L214" s="797">
        <f>(L217-L207)/10*7+L207</f>
        <v>2267.4370553923409</v>
      </c>
      <c r="M214" s="798">
        <f>(M217-M207)/10*7+M207</f>
        <v>3073.8984395013881</v>
      </c>
    </row>
    <row r="215" spans="1:13" hidden="1" x14ac:dyDescent="0.2">
      <c r="A215" s="793">
        <v>17.8</v>
      </c>
      <c r="D215" s="482"/>
      <c r="J215" s="797">
        <f>(J217-J207)/10*8+J207</f>
        <v>1914.8539880272529</v>
      </c>
      <c r="K215" s="798">
        <f>(K217-K207)/10*8+K207</f>
        <v>2059.7215503991938</v>
      </c>
      <c r="L215" s="797">
        <f>(L217-L207)/10*8+L207</f>
        <v>2285.6396106129318</v>
      </c>
      <c r="M215" s="798">
        <f>(M217-M207)/10*8+M207</f>
        <v>3095.3396491927801</v>
      </c>
    </row>
    <row r="216" spans="1:13" hidden="1" x14ac:dyDescent="0.2">
      <c r="A216" s="793">
        <v>17.899999999999999</v>
      </c>
      <c r="D216" s="482"/>
      <c r="J216" s="797">
        <f>(J217-J207)/10*9+J207</f>
        <v>1925.191610014806</v>
      </c>
      <c r="K216" s="798">
        <f>(K217-K207)/10*9+K207</f>
        <v>2075.2407936929944</v>
      </c>
      <c r="L216" s="797">
        <f>(L217-L207)/10*9+L207</f>
        <v>2303.8421658335228</v>
      </c>
      <c r="M216" s="798">
        <f>(M217-M207)/10*9+M207</f>
        <v>3116.7808588841722</v>
      </c>
    </row>
    <row r="217" spans="1:13" hidden="1" x14ac:dyDescent="0.2">
      <c r="A217" s="793">
        <v>18</v>
      </c>
      <c r="D217" s="482"/>
      <c r="J217" s="797">
        <v>1935.5292320023589</v>
      </c>
      <c r="K217" s="798">
        <v>2090.7600369867951</v>
      </c>
      <c r="L217" s="797">
        <v>2322.0447210541142</v>
      </c>
      <c r="M217" s="798">
        <v>3138.2220685755642</v>
      </c>
    </row>
    <row r="218" spans="1:13" hidden="1" x14ac:dyDescent="0.2">
      <c r="A218" s="793">
        <v>18.100000000000001</v>
      </c>
      <c r="D218" s="482"/>
      <c r="J218" s="797">
        <f>(J227-J217)/10*1+J217</f>
        <v>1950.4586341950912</v>
      </c>
      <c r="K218" s="798">
        <f>(K227-K217)/10*1+K217</f>
        <v>2100.5994514171498</v>
      </c>
      <c r="L218" s="797">
        <f>(L227-L217)/10*1+L217</f>
        <v>2342.4704021158832</v>
      </c>
      <c r="M218" s="798">
        <f>(M227-M217)/10*1+M217</f>
        <v>3162.5091896368567</v>
      </c>
    </row>
    <row r="219" spans="1:13" hidden="1" x14ac:dyDescent="0.2">
      <c r="A219" s="793">
        <v>18.2</v>
      </c>
      <c r="D219" s="482"/>
      <c r="J219" s="797">
        <f>(J227-J217)/10*2+J217</f>
        <v>1965.3880363878238</v>
      </c>
      <c r="K219" s="798">
        <f>(K227-K217)/10*2+K217</f>
        <v>2110.4388658475041</v>
      </c>
      <c r="L219" s="797">
        <f>(L227-L217)/10*2+L217</f>
        <v>2362.8960831776521</v>
      </c>
      <c r="M219" s="798">
        <f>(M227-M217)/10*2+M217</f>
        <v>3186.7963106981492</v>
      </c>
    </row>
    <row r="220" spans="1:13" hidden="1" x14ac:dyDescent="0.2">
      <c r="A220" s="793">
        <v>18.3</v>
      </c>
      <c r="D220" s="482"/>
      <c r="J220" s="797">
        <f>(J227-J217)/10*3+J217</f>
        <v>1980.3174385805564</v>
      </c>
      <c r="K220" s="798">
        <f>(K227-K217)/10*3+K217</f>
        <v>2120.2782802778584</v>
      </c>
      <c r="L220" s="797">
        <f>(L227-L217)/10*3+L217</f>
        <v>2383.3217642394216</v>
      </c>
      <c r="M220" s="798">
        <f>(M227-M217)/10*3+M217</f>
        <v>3211.0834317594417</v>
      </c>
    </row>
    <row r="221" spans="1:13" hidden="1" x14ac:dyDescent="0.2">
      <c r="A221" s="793">
        <v>18.399999999999999</v>
      </c>
      <c r="D221" s="482"/>
      <c r="J221" s="797">
        <f>(J227-J217)/10*4+J217</f>
        <v>1995.2468407732888</v>
      </c>
      <c r="K221" s="798">
        <f>(K227-K217)/10*4+K217</f>
        <v>2130.1176947082131</v>
      </c>
      <c r="L221" s="797">
        <f>(L227-L217)/10*4+L217</f>
        <v>2403.7474453011905</v>
      </c>
      <c r="M221" s="798">
        <f>(M227-M217)/10*4+M217</f>
        <v>3235.3705528207342</v>
      </c>
    </row>
    <row r="222" spans="1:13" hidden="1" x14ac:dyDescent="0.2">
      <c r="A222" s="793">
        <v>18.5</v>
      </c>
      <c r="D222" s="482"/>
      <c r="J222" s="797">
        <f>(J227-J217)/10*5+J217</f>
        <v>2010.1762429660212</v>
      </c>
      <c r="K222" s="798">
        <f>(K227-K217)/10*5+K217</f>
        <v>2139.9571091385678</v>
      </c>
      <c r="L222" s="797">
        <f>(L227-L217)/10*5+L217</f>
        <v>2424.1731263629595</v>
      </c>
      <c r="M222" s="798">
        <f>(M227-M217)/10*5+M217</f>
        <v>3259.6576738820268</v>
      </c>
    </row>
    <row r="223" spans="1:13" hidden="1" x14ac:dyDescent="0.2">
      <c r="A223" s="793">
        <v>18.600000000000001</v>
      </c>
      <c r="D223" s="482"/>
      <c r="J223" s="797">
        <f>(J227-J217)/10*6+J217</f>
        <v>2025.1056451587538</v>
      </c>
      <c r="K223" s="798">
        <f>(K227-K217)/10*6+K217</f>
        <v>2149.7965235689221</v>
      </c>
      <c r="L223" s="797">
        <f>(L227-L217)/10*6+L217</f>
        <v>2444.5988074247284</v>
      </c>
      <c r="M223" s="798">
        <f>(M227-M217)/10*6+M217</f>
        <v>3283.9447949433188</v>
      </c>
    </row>
    <row r="224" spans="1:13" hidden="1" x14ac:dyDescent="0.2">
      <c r="A224" s="793">
        <v>18.7</v>
      </c>
      <c r="D224" s="482"/>
      <c r="J224" s="797">
        <f>(J227-J217)/10*7+J217</f>
        <v>2040.0350473514864</v>
      </c>
      <c r="K224" s="798">
        <f>(K227-K217)/10*7+K217</f>
        <v>2159.6359379992764</v>
      </c>
      <c r="L224" s="797">
        <f>(L227-L217)/10*7+L217</f>
        <v>2465.0244884864974</v>
      </c>
      <c r="M224" s="798">
        <f>(M227-M217)/10*7+M217</f>
        <v>3308.2319160046113</v>
      </c>
    </row>
    <row r="225" spans="1:13" hidden="1" x14ac:dyDescent="0.2">
      <c r="A225" s="793">
        <v>18.8</v>
      </c>
      <c r="D225" s="482"/>
      <c r="J225" s="797">
        <f>(J227-J217)/10*8+J217</f>
        <v>2054.964449544219</v>
      </c>
      <c r="K225" s="798">
        <f>(K227-K217)/10*8+K217</f>
        <v>2169.4753524296311</v>
      </c>
      <c r="L225" s="797">
        <f>(L227-L217)/10*8+L217</f>
        <v>2485.4501695482668</v>
      </c>
      <c r="M225" s="798">
        <f>(M227-M217)/10*8+M217</f>
        <v>3332.5190370659038</v>
      </c>
    </row>
    <row r="226" spans="1:13" hidden="1" x14ac:dyDescent="0.2">
      <c r="A226" s="793">
        <v>18.899999999999999</v>
      </c>
      <c r="D226" s="482"/>
      <c r="J226" s="797">
        <f>(J227-J217)/10*9+J217</f>
        <v>2069.8938517369511</v>
      </c>
      <c r="K226" s="798">
        <f>(K227-K217)/10*9+K217</f>
        <v>2179.3147668599859</v>
      </c>
      <c r="L226" s="797">
        <f>(L227-L217)/10*9+L217</f>
        <v>2505.8758506100357</v>
      </c>
      <c r="M226" s="798">
        <f>(M227-M217)/10*9+M217</f>
        <v>3356.8061581271963</v>
      </c>
    </row>
    <row r="227" spans="1:13" hidden="1" x14ac:dyDescent="0.2">
      <c r="A227" s="793">
        <v>19</v>
      </c>
      <c r="D227" s="482"/>
      <c r="J227" s="797">
        <v>2084.8232539296837</v>
      </c>
      <c r="K227" s="798">
        <v>2189.1541812903401</v>
      </c>
      <c r="L227" s="797">
        <v>2526.3015316718047</v>
      </c>
      <c r="M227" s="798">
        <v>3381.0932791884889</v>
      </c>
    </row>
    <row r="228" spans="1:13" x14ac:dyDescent="0.2">
      <c r="L228" s="762"/>
    </row>
    <row r="229" spans="1:13" x14ac:dyDescent="0.2">
      <c r="L229" s="762"/>
    </row>
    <row r="230" spans="1:13" x14ac:dyDescent="0.2">
      <c r="L230" s="762"/>
    </row>
    <row r="231" spans="1:13" x14ac:dyDescent="0.2">
      <c r="L231" s="762"/>
    </row>
    <row r="232" spans="1:13" x14ac:dyDescent="0.2">
      <c r="L232" s="762"/>
    </row>
    <row r="233" spans="1:13" x14ac:dyDescent="0.2">
      <c r="L233" s="762"/>
    </row>
    <row r="234" spans="1:13" x14ac:dyDescent="0.2">
      <c r="L234" s="762"/>
    </row>
    <row r="235" spans="1:13" x14ac:dyDescent="0.2">
      <c r="L235" s="762"/>
    </row>
    <row r="236" spans="1:13" x14ac:dyDescent="0.2">
      <c r="L236" s="762"/>
    </row>
    <row r="237" spans="1:13" x14ac:dyDescent="0.2">
      <c r="L237" s="762"/>
    </row>
    <row r="238" spans="1:13" x14ac:dyDescent="0.2">
      <c r="L238" s="762"/>
    </row>
    <row r="239" spans="1:13" x14ac:dyDescent="0.2">
      <c r="L239" s="762"/>
    </row>
    <row r="240" spans="1:13" x14ac:dyDescent="0.2">
      <c r="L240" s="762"/>
    </row>
    <row r="241" spans="12:12" x14ac:dyDescent="0.2">
      <c r="L241" s="762"/>
    </row>
    <row r="242" spans="12:12" x14ac:dyDescent="0.2">
      <c r="L242" s="762"/>
    </row>
    <row r="243" spans="12:12" x14ac:dyDescent="0.2">
      <c r="L243" s="762"/>
    </row>
    <row r="244" spans="12:12" x14ac:dyDescent="0.2">
      <c r="L244" s="762"/>
    </row>
    <row r="245" spans="12:12" x14ac:dyDescent="0.2">
      <c r="L245" s="762"/>
    </row>
    <row r="246" spans="12:12" x14ac:dyDescent="0.2">
      <c r="L246" s="762"/>
    </row>
    <row r="247" spans="12:12" x14ac:dyDescent="0.2">
      <c r="L247" s="762"/>
    </row>
    <row r="248" spans="12:12" x14ac:dyDescent="0.2">
      <c r="L248" s="762"/>
    </row>
    <row r="249" spans="12:12" x14ac:dyDescent="0.2">
      <c r="L249" s="762"/>
    </row>
    <row r="250" spans="12:12" x14ac:dyDescent="0.2">
      <c r="L250" s="762"/>
    </row>
    <row r="251" spans="12:12" x14ac:dyDescent="0.2">
      <c r="L251" s="762"/>
    </row>
    <row r="252" spans="12:12" x14ac:dyDescent="0.2">
      <c r="L252" s="762"/>
    </row>
    <row r="253" spans="12:12" x14ac:dyDescent="0.2">
      <c r="L253" s="762"/>
    </row>
    <row r="254" spans="12:12" x14ac:dyDescent="0.2">
      <c r="L254" s="762"/>
    </row>
    <row r="255" spans="12:12" x14ac:dyDescent="0.2">
      <c r="L255" s="762"/>
    </row>
    <row r="256" spans="12:12" x14ac:dyDescent="0.2">
      <c r="L256" s="762"/>
    </row>
    <row r="257" spans="12:12" x14ac:dyDescent="0.2">
      <c r="L257" s="762"/>
    </row>
    <row r="258" spans="12:12" x14ac:dyDescent="0.2">
      <c r="L258" s="762"/>
    </row>
    <row r="259" spans="12:12" x14ac:dyDescent="0.2">
      <c r="L259" s="762"/>
    </row>
    <row r="260" spans="12:12" x14ac:dyDescent="0.2">
      <c r="L260" s="762"/>
    </row>
    <row r="261" spans="12:12" x14ac:dyDescent="0.2">
      <c r="L261" s="762"/>
    </row>
    <row r="262" spans="12:12" x14ac:dyDescent="0.2">
      <c r="L262" s="762"/>
    </row>
    <row r="263" spans="12:12" x14ac:dyDescent="0.2">
      <c r="L263" s="762"/>
    </row>
    <row r="264" spans="12:12" x14ac:dyDescent="0.2">
      <c r="L264" s="762"/>
    </row>
    <row r="265" spans="12:12" x14ac:dyDescent="0.2">
      <c r="L265" s="762"/>
    </row>
    <row r="266" spans="12:12" x14ac:dyDescent="0.2">
      <c r="L266" s="762"/>
    </row>
    <row r="267" spans="12:12" x14ac:dyDescent="0.2">
      <c r="L267" s="762"/>
    </row>
    <row r="268" spans="12:12" x14ac:dyDescent="0.2">
      <c r="L268" s="762"/>
    </row>
    <row r="269" spans="12:12" x14ac:dyDescent="0.2">
      <c r="L269" s="762"/>
    </row>
  </sheetData>
  <sheetProtection sheet="1" objects="1" scenarios="1" selectLockedCells="1"/>
  <mergeCells count="28">
    <mergeCell ref="B32:C32"/>
    <mergeCell ref="D32:E32"/>
    <mergeCell ref="B33:C33"/>
    <mergeCell ref="D33:E33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A1:I1"/>
    <mergeCell ref="A2:I2"/>
    <mergeCell ref="B21:C21"/>
    <mergeCell ref="D21:E21"/>
    <mergeCell ref="B22:C22"/>
    <mergeCell ref="D22:E22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20CD9-F991-42C1-A571-FBB0A929620E}">
  <dimension ref="A1:M81"/>
  <sheetViews>
    <sheetView showGridLines="0" zoomScaleNormal="100" workbookViewId="0">
      <selection activeCell="R24" sqref="R24"/>
    </sheetView>
  </sheetViews>
  <sheetFormatPr defaultColWidth="8.85546875" defaultRowHeight="12.75" x14ac:dyDescent="0.2"/>
  <cols>
    <col min="1" max="1" width="25.7109375" style="482" customWidth="1"/>
    <col min="2" max="2" width="14.28515625" style="482" customWidth="1"/>
    <col min="3" max="3" width="15.7109375" style="482" customWidth="1"/>
    <col min="4" max="4" width="16.42578125" style="482" customWidth="1"/>
    <col min="5" max="5" width="15.7109375" style="482" customWidth="1"/>
    <col min="6" max="7" width="10.7109375" style="482" customWidth="1"/>
    <col min="8" max="8" width="7.140625" style="482" customWidth="1"/>
    <col min="9" max="9" width="10.7109375" style="482" customWidth="1"/>
    <col min="10" max="10" width="20.42578125" style="482" bestFit="1" customWidth="1"/>
    <col min="11" max="13" width="8.85546875" style="482"/>
    <col min="14" max="15" width="20.28515625" style="482" bestFit="1" customWidth="1"/>
    <col min="16" max="16384" width="8.85546875" style="482"/>
  </cols>
  <sheetData>
    <row r="1" spans="1:11" ht="21" thickTop="1" x14ac:dyDescent="0.3">
      <c r="A1" s="880" t="s">
        <v>855</v>
      </c>
      <c r="B1" s="881"/>
      <c r="C1" s="881"/>
      <c r="D1" s="881"/>
      <c r="E1" s="881"/>
      <c r="F1" s="881"/>
      <c r="G1" s="881"/>
      <c r="H1" s="881"/>
      <c r="I1" s="881"/>
      <c r="J1" s="892"/>
      <c r="K1" s="481"/>
    </row>
    <row r="2" spans="1:11" ht="21" thickBot="1" x14ac:dyDescent="0.35">
      <c r="A2" s="889" t="s">
        <v>853</v>
      </c>
      <c r="B2" s="890"/>
      <c r="C2" s="890"/>
      <c r="D2" s="890"/>
      <c r="E2" s="890"/>
      <c r="F2" s="890"/>
      <c r="G2" s="890"/>
      <c r="H2" s="890"/>
      <c r="I2" s="890"/>
      <c r="J2" s="891"/>
      <c r="K2" s="481"/>
    </row>
    <row r="3" spans="1:11" ht="13.5" thickTop="1" x14ac:dyDescent="0.2">
      <c r="A3" s="483"/>
      <c r="B3" s="484"/>
      <c r="C3" s="484"/>
      <c r="D3" s="485"/>
      <c r="E3" s="485"/>
      <c r="F3" s="485"/>
      <c r="G3" s="485"/>
      <c r="H3" s="485"/>
      <c r="I3" s="485"/>
      <c r="J3" s="486"/>
    </row>
    <row r="4" spans="1:11" ht="13.5" thickBot="1" x14ac:dyDescent="0.25">
      <c r="A4" s="487"/>
      <c r="B4" s="19" t="s">
        <v>25</v>
      </c>
      <c r="D4" s="488"/>
      <c r="J4" s="489"/>
    </row>
    <row r="5" spans="1:11" ht="13.5" hidden="1" thickBot="1" x14ac:dyDescent="0.25">
      <c r="A5" s="490" t="s">
        <v>66</v>
      </c>
      <c r="B5" s="491">
        <v>20</v>
      </c>
      <c r="C5" s="492" t="s">
        <v>67</v>
      </c>
      <c r="J5" s="489"/>
    </row>
    <row r="6" spans="1:11" ht="13.5" thickBot="1" x14ac:dyDescent="0.25">
      <c r="A6" s="32" t="s">
        <v>56</v>
      </c>
      <c r="B6" s="493">
        <v>90</v>
      </c>
      <c r="C6" s="26" t="s">
        <v>551</v>
      </c>
      <c r="D6" s="488"/>
      <c r="G6" s="488"/>
      <c r="J6" s="489"/>
    </row>
    <row r="7" spans="1:11" x14ac:dyDescent="0.2">
      <c r="A7" s="487"/>
      <c r="G7" s="488"/>
      <c r="J7" s="489"/>
    </row>
    <row r="8" spans="1:11" ht="13.5" thickBot="1" x14ac:dyDescent="0.25">
      <c r="A8" s="487"/>
      <c r="J8" s="489"/>
    </row>
    <row r="9" spans="1:11" ht="13.5" thickTop="1" x14ac:dyDescent="0.2">
      <c r="A9" s="898" t="s">
        <v>704</v>
      </c>
      <c r="B9" s="888" t="s">
        <v>60</v>
      </c>
      <c r="C9" s="888"/>
      <c r="D9" s="888" t="s">
        <v>70</v>
      </c>
      <c r="E9" s="895"/>
      <c r="J9" s="489"/>
    </row>
    <row r="10" spans="1:11" x14ac:dyDescent="0.2">
      <c r="A10" s="899"/>
      <c r="B10" s="232" t="s">
        <v>552</v>
      </c>
      <c r="C10" s="232" t="s">
        <v>99</v>
      </c>
      <c r="D10" s="114" t="s">
        <v>62</v>
      </c>
      <c r="E10" s="36" t="s">
        <v>72</v>
      </c>
      <c r="J10" s="489"/>
    </row>
    <row r="11" spans="1:11" x14ac:dyDescent="0.2">
      <c r="A11" s="495" t="s">
        <v>707</v>
      </c>
      <c r="B11" s="232" t="s">
        <v>732</v>
      </c>
      <c r="C11" s="232" t="s">
        <v>632</v>
      </c>
      <c r="D11" s="559" t="str">
        <f>IF(I53="UDEN FOR OMRÅDET","NOT POSSIBLE",IF(J53="UDEN FOR OMRÅDET","NOT POSSIBLE",(-0.0000663377*B6^4+0.0026983179*B6^3-0.0548455003*B6^2+0.7520584843*B6-0.3425667215)))</f>
        <v>NOT POSSIBLE</v>
      </c>
      <c r="E11" s="560" t="str">
        <f>IF(I53="UDEN FOR OMRÅDET","NOT POSSIBLE",IF($B$6&lt;1.4,10,((((-0.5707282913*D11^4+5.3739495798*D11^3-14.4754901961*D11^2+16.3697478992*D11+4.3025210084))))))</f>
        <v>NOT POSSIBLE</v>
      </c>
      <c r="J11" s="489"/>
    </row>
    <row r="12" spans="1:11" x14ac:dyDescent="0.2">
      <c r="A12" s="613" t="s">
        <v>706</v>
      </c>
      <c r="B12" s="494" t="s">
        <v>641</v>
      </c>
      <c r="C12" s="494" t="s">
        <v>621</v>
      </c>
      <c r="D12" s="559" t="str">
        <f>IF(I54="UDEN FOR OMRÅDET","NOT POSSIBLE",IF(J54="UDEN FOR OMRÅDET","NOT POSSIBLE",(-0.0007*B6^3+0.0111*B6^2+0.2671*B6-0.1437)))</f>
        <v>NOT POSSIBLE</v>
      </c>
      <c r="E12" s="560" t="str">
        <f>IF(I54="UDEN FOR OMRÅDET","NOT POSSIBLE",IF($B$6&lt;3.9,6.5,((((0.25*D12^3-0.25*D12^2+0.5*D12+6))))))</f>
        <v>NOT POSSIBLE</v>
      </c>
      <c r="J12" s="489"/>
    </row>
    <row r="13" spans="1:11" x14ac:dyDescent="0.2">
      <c r="A13" s="495" t="s">
        <v>705</v>
      </c>
      <c r="B13" s="496" t="s">
        <v>642</v>
      </c>
      <c r="C13" s="496" t="s">
        <v>622</v>
      </c>
      <c r="D13" s="559" t="str">
        <f>IF(I55="UDEN FOR OMRÅDET","NOT POSSIBLE",IF(J55="UDEN FOR OMRÅDET","NOT POSSIBLE",(-0.000159*B6^3+0.004239*B6^2+0.159774*B6-0.099711)))</f>
        <v>NOT POSSIBLE</v>
      </c>
      <c r="E13" s="560" t="str">
        <f>IF(I55="UDEN FOR OMRÅDET","NOT POSSIBLE",IF($B$6&lt;6.2,19,((((0.6667*D13^3-0.5*D13^2-1.1667*D13+20))))))</f>
        <v>NOT POSSIBLE</v>
      </c>
      <c r="J13" s="489"/>
    </row>
    <row r="14" spans="1:11" x14ac:dyDescent="0.2">
      <c r="A14" s="613" t="s">
        <v>708</v>
      </c>
      <c r="B14" s="494" t="s">
        <v>641</v>
      </c>
      <c r="C14" s="494" t="s">
        <v>621</v>
      </c>
      <c r="D14" s="559">
        <f>IF(56="UDEN FOR OMRÅDET","NOT POSSIBLE",IF(J56="UDEN FOR OMRÅDET","NOT POSSIBLE",(-0.0007*B6^3+0.0111*B6^2+0.2671*B6-0.1437)))</f>
        <v>-396.49470000000002</v>
      </c>
      <c r="E14" s="560" t="str">
        <f>IF(I56="UDEN FOR OMRÅDET","NOT POSSIBLE",IF($B$6&lt;3.9,6.5,((((0.25*D14^3-0.25*D14^2+0.5*D14+6))))))</f>
        <v>NOT POSSIBLE</v>
      </c>
      <c r="J14" s="489"/>
    </row>
    <row r="15" spans="1:11" x14ac:dyDescent="0.2">
      <c r="A15" s="495" t="s">
        <v>709</v>
      </c>
      <c r="B15" s="496" t="s">
        <v>701</v>
      </c>
      <c r="C15" s="496" t="s">
        <v>622</v>
      </c>
      <c r="D15" s="559" t="str">
        <f>IF(I57="UDEN FOR OMRÅDET","NOT POSSIBLE",IF(J57="UDEN FOR OMRÅDET","NOT POSSIBLE",(0.0000312913*B6^4-0.0019202452*B6^3+0.0379747979*B6^2-0.0888173183*B6+0.4303082031)))</f>
        <v>NOT POSSIBLE</v>
      </c>
      <c r="E15" s="560" t="str">
        <f>IF(I57="UDEN FOR OMRÅDET","NOT POSSIBLE",IF($B$6&lt;11.2,19,((((7.5*D15^2-33.5*D15+57))))))</f>
        <v>NOT POSSIBLE</v>
      </c>
      <c r="J15" s="489"/>
    </row>
    <row r="16" spans="1:11" x14ac:dyDescent="0.2">
      <c r="A16" s="613" t="s">
        <v>712</v>
      </c>
      <c r="B16" s="494" t="s">
        <v>643</v>
      </c>
      <c r="C16" s="494" t="s">
        <v>623</v>
      </c>
      <c r="D16" s="559" t="str">
        <f>IF(I58="UDEN FOR OMRÅDET","NOT POSSIBLE",IF(J58="UDEN FOR OMRÅDET","NOT POSSIBLE",(-0.000124*B6^3+0.002487*B6^2+0.185365*B6-0.283831)))</f>
        <v>NOT POSSIBLE</v>
      </c>
      <c r="E16" s="560" t="str">
        <f>IF(I58="UDEN FOR OMRÅDET","NOT POSSIBLE",IF($B$6&lt;6.6,15,((((0.6667*D16^3-4.5*D16^2+11.833*D16+7))))))</f>
        <v>NOT POSSIBLE</v>
      </c>
      <c r="J16" s="489"/>
    </row>
    <row r="17" spans="1:10" x14ac:dyDescent="0.2">
      <c r="A17" s="495" t="s">
        <v>713</v>
      </c>
      <c r="B17" s="496" t="s">
        <v>644</v>
      </c>
      <c r="C17" s="496" t="s">
        <v>624</v>
      </c>
      <c r="D17" s="559" t="str">
        <f>IF(I59="UDEN FOR OMRÅDET","NOT POSSIBLE",IF(J59="UDEN FOR OMRÅDET","NOT POSSIBLE",(0.00000407*B6^4-0.00036799*B6^3+0.01016138*B6^2+0.03167768*B6+0.12121138)))</f>
        <v>NOT POSSIBLE</v>
      </c>
      <c r="E17" s="560" t="str">
        <f>IF(I59="UDEN FOR OMRÅDET","NOT POSSIBLE",IF($B$6&lt;9.1,30,((((2.6667*D17^3-15.5*D17^2+29.833*D17+13))))))</f>
        <v>NOT POSSIBLE</v>
      </c>
      <c r="J17" s="489"/>
    </row>
    <row r="18" spans="1:10" x14ac:dyDescent="0.2">
      <c r="A18" s="613" t="s">
        <v>710</v>
      </c>
      <c r="B18" s="494" t="s">
        <v>643</v>
      </c>
      <c r="C18" s="494" t="s">
        <v>623</v>
      </c>
      <c r="D18" s="559" t="str">
        <f>IF(I60="UDEN FOR OMRÅDET","NOT POSSIBLE",IF(J60="UDEN FOR OMRÅDET","NOT POSSIBLE",(-0.000124*B6^3+0.002487*B6^2+0.185365*B6-0.283831)))</f>
        <v>NOT POSSIBLE</v>
      </c>
      <c r="E18" s="560" t="str">
        <f>IF(I60="UDEN FOR OMRÅDET","NOT POSSIBLE",IF($B$6&lt;6.6,15,((((0.6667*D18^3-4.5*D18^2+11.833*D18+7))))))</f>
        <v>NOT POSSIBLE</v>
      </c>
      <c r="J18" s="489"/>
    </row>
    <row r="19" spans="1:10" x14ac:dyDescent="0.2">
      <c r="A19" s="495" t="s">
        <v>711</v>
      </c>
      <c r="B19" s="496" t="s">
        <v>644</v>
      </c>
      <c r="C19" s="496" t="s">
        <v>624</v>
      </c>
      <c r="D19" s="559" t="str">
        <f>IF(I61="UDEN FOR OMRÅDET","NOT POSSIBLE",IF(J61="UDEN FOR OMRÅDET","NOT POSSIBLE",(0.00000407*B6^4-0.00036799*B6^3+0.01016138*B6^2+0.03167768*B6+0.12121138)))</f>
        <v>NOT POSSIBLE</v>
      </c>
      <c r="E19" s="560" t="str">
        <f>IF(I61="UDEN FOR OMRÅDET","NOT POSSIBLE",IF($B$6&lt;9.1,30,((((2.6667*D19^3-15.5*D19^2+29.833*D19+13))))))</f>
        <v>NOT POSSIBLE</v>
      </c>
      <c r="J19" s="489"/>
    </row>
    <row r="20" spans="1:10" x14ac:dyDescent="0.2">
      <c r="A20" s="613" t="s">
        <v>714</v>
      </c>
      <c r="B20" s="494" t="s">
        <v>645</v>
      </c>
      <c r="C20" s="494" t="s">
        <v>625</v>
      </c>
      <c r="D20" s="559" t="str">
        <f>IF(I62="UDEN FOR OMRÅDET","NOT POSSIBLE",IF(J62="UDEN FOR OMRÅDET","NOT POSSIBLE",(-0.000044*B6^3+0.000728*B6^2+0.150689*B6-0.254301)))</f>
        <v>NOT POSSIBLE</v>
      </c>
      <c r="E20" s="560" t="str">
        <f>IF(I62="UDEN FOR OMRÅDET","NOT POSSIBLE",IF($B$6&lt;8.3,16,((((0.5*D20^3-3*D20^2+7.5*D20+11))))))</f>
        <v>NOT POSSIBLE</v>
      </c>
      <c r="J20" s="489"/>
    </row>
    <row r="21" spans="1:10" x14ac:dyDescent="0.2">
      <c r="A21" s="495" t="s">
        <v>715</v>
      </c>
      <c r="B21" s="496" t="s">
        <v>646</v>
      </c>
      <c r="C21" s="496" t="s">
        <v>626</v>
      </c>
      <c r="D21" s="559" t="str">
        <f>IF(I63="UDEN FOR OMRÅDET","NOT POSSIBLE",IF(J63="UDEN FOR OMRÅDET","NOT POSSIBLE",(0.00000156*B6^4-0.0001838*B6^3+0.00652234*B6^2+0.0239868*B6+0.17174038)))</f>
        <v>NOT POSSIBLE</v>
      </c>
      <c r="E21" s="560" t="str">
        <f>IF(I63="UDEN FOR OMRÅDET","NOT POSSIBLE",IF($B$6&lt;11,23,((((1.8245614*D21^3-9.20300752*D21^2+16.72431078*D21+13.67293233))))))</f>
        <v>NOT POSSIBLE</v>
      </c>
      <c r="J21" s="489"/>
    </row>
    <row r="22" spans="1:10" x14ac:dyDescent="0.2">
      <c r="A22" s="613" t="s">
        <v>716</v>
      </c>
      <c r="B22" s="494" t="s">
        <v>645</v>
      </c>
      <c r="C22" s="494" t="s">
        <v>625</v>
      </c>
      <c r="D22" s="559" t="str">
        <f>IF(I64="UDEN FOR OMRÅDET","NOT POSSIBLE",IF(J64="UDEN FOR OMRÅDET","NOT POSSIBLE",(-0.000044*B6^3+0.000728*B6^2+0.150689*B6-0.254301)))</f>
        <v>NOT POSSIBLE</v>
      </c>
      <c r="E22" s="560" t="str">
        <f>IF(I64="UDEN FOR OMRÅDET","NOT POSSIBLE",IF($B$6&lt;8.3,16,((((0.5*D22^3-3*D22^2+7.5*D22+11))))))</f>
        <v>NOT POSSIBLE</v>
      </c>
      <c r="J22" s="489"/>
    </row>
    <row r="23" spans="1:10" x14ac:dyDescent="0.2">
      <c r="A23" s="495" t="s">
        <v>717</v>
      </c>
      <c r="B23" s="496" t="s">
        <v>646</v>
      </c>
      <c r="C23" s="496" t="s">
        <v>626</v>
      </c>
      <c r="D23" s="559" t="str">
        <f>IF(I65="UDEN FOR OMRÅDET","NOT POSSIBLE",IF(J65="UDEN FOR OMRÅDET","NOT POSSIBLE",(0.00000156*B6^4-0.0001838*B6^3+0.00652234*B6^2+0.0239868*B6+0.17174038)))</f>
        <v>NOT POSSIBLE</v>
      </c>
      <c r="E23" s="560" t="str">
        <f>IF(I65="UDEN FOR OMRÅDET","NOT POSSIBLE",IF($B$6&lt;11,23,((((1.8245614*D23^3-9.20300752*D23^2+16.72431078*D23+13.67293233))))))</f>
        <v>NOT POSSIBLE</v>
      </c>
      <c r="J23" s="489"/>
    </row>
    <row r="24" spans="1:10" x14ac:dyDescent="0.2">
      <c r="A24" s="613" t="s">
        <v>718</v>
      </c>
      <c r="B24" s="494" t="s">
        <v>647</v>
      </c>
      <c r="C24" s="494" t="s">
        <v>627</v>
      </c>
      <c r="D24" s="559" t="str">
        <f>IF(I66="UDEN FOR OMRÅDET","NOT POSSIBLE",IF(J66="UDEN FOR OMRÅDET","NOT POSSIBLE",(0.0000006139*B6^4-0.000106561*B6^3+0.0058288674*B6^2-0.0444580014*B6+0.4579242305)))</f>
        <v>NOT POSSIBLE</v>
      </c>
      <c r="E24" s="560" t="str">
        <f>IF(I66="UDEN FOR OMRÅDET","NOT POSSIBLE",IF($B$6&lt;8.3,16,((((0.0000690761*B6^3-0.0045265849*B6^2+0.2633541895*B6+16.2995714859))))))</f>
        <v>NOT POSSIBLE</v>
      </c>
      <c r="J24" s="489"/>
    </row>
    <row r="25" spans="1:10" x14ac:dyDescent="0.2">
      <c r="A25" s="495" t="s">
        <v>719</v>
      </c>
      <c r="B25" s="496" t="s">
        <v>648</v>
      </c>
      <c r="C25" s="496" t="s">
        <v>624</v>
      </c>
      <c r="D25" s="559">
        <f>IF(I67="UDEN FOR OMRÅDET","NOT POSSIBLE",IF(J67="UDEN FOR OMRÅDET","NOT POSSIBLE",(0.0000002014*B6^4-0.0000448209*B6^3+0.0030842417*B6^2-0.0208500823*B6+0.3651879533)))</f>
        <v>4.0104562162999962</v>
      </c>
      <c r="E25" s="560">
        <f>IF(I67="UDEN FOR OMRÅDET","NOT POSSIBLE",IF($B$6&lt;8.3,16,((((0.0000124414*B6^3+0.0047437114*B6^2+0.0004843365*B6+27.4237821061))))))</f>
        <v>74.961215331100007</v>
      </c>
      <c r="J25" s="489"/>
    </row>
    <row r="26" spans="1:10" x14ac:dyDescent="0.2">
      <c r="A26" s="613" t="s">
        <v>720</v>
      </c>
      <c r="B26" s="494" t="s">
        <v>647</v>
      </c>
      <c r="C26" s="494" t="s">
        <v>627</v>
      </c>
      <c r="D26" s="559" t="str">
        <f>IF(I68="UDEN FOR OMRÅDET","NOT POSSIBLE",IF(J68="UDEN FOR OMRÅDET","NOT POSSIBLE",(0.0000006139*B6^4-0.000106561*B6^3+0.0058288674*B6^2-0.0444580014*B6+0.4579242305)))</f>
        <v>NOT POSSIBLE</v>
      </c>
      <c r="E26" s="560" t="str">
        <f>IF(I68="UDEN FOR OMRÅDET","NOT POSSIBLE",IF($B$6&lt;8.3,16,((((0.0000690761*B6^3-0.0045265849*B6^2+0.2633541895*B6+16.2995714859))))))</f>
        <v>NOT POSSIBLE</v>
      </c>
      <c r="J26" s="489"/>
    </row>
    <row r="27" spans="1:10" x14ac:dyDescent="0.2">
      <c r="A27" s="495" t="s">
        <v>721</v>
      </c>
      <c r="B27" s="496" t="s">
        <v>648</v>
      </c>
      <c r="C27" s="496" t="s">
        <v>624</v>
      </c>
      <c r="D27" s="559">
        <f>IF(I69="UDEN FOR OMRÅDET","NOT POSSIBLE",IF(J69="UDEN FOR OMRÅDET","NOT POSSIBLE",(0.0000002014*B6^4-0.0000448209*B6^3+0.0030842417*B6^2-0.0208500823*B6+0.3651879533)))</f>
        <v>4.0104562162999962</v>
      </c>
      <c r="E27" s="560">
        <f>IF(I69="UDEN FOR OMRÅDET","NOT POSSIBLE",IF($B$6&lt;8.3,16,((((0.0000124414*B6^3+0.0047437114*B6^2+0.0004843365*B6+27.4237821061))))))</f>
        <v>74.961215331100007</v>
      </c>
      <c r="J27" s="489"/>
    </row>
    <row r="28" spans="1:10" x14ac:dyDescent="0.2">
      <c r="A28" s="613" t="s">
        <v>722</v>
      </c>
      <c r="B28" s="494" t="s">
        <v>571</v>
      </c>
      <c r="C28" s="494" t="s">
        <v>625</v>
      </c>
      <c r="D28" s="559">
        <f>IF(I70="UDEN FOR OMRÅDET","NOT POSSIBLE",IF(J70="UDEN FOR OMRÅDET","NOT POSSIBLE",(-0.0000024*B6^3+0.00033459*B6^2+0.02873223*B6-0.03574711)))</f>
        <v>3.5107325900000008</v>
      </c>
      <c r="E28" s="560">
        <f>IF(I70="UDEN FOR OMRÅDET","NOT POSSIBLE",IF($B$6&lt;28.5,16,((((0.00004639*B6^3-0.00631449*B6^2+0.36332191*B6+9.70047171))))))</f>
        <v>25.070384610000012</v>
      </c>
      <c r="J28" s="489"/>
    </row>
    <row r="29" spans="1:10" x14ac:dyDescent="0.2">
      <c r="A29" s="495" t="s">
        <v>723</v>
      </c>
      <c r="B29" s="496" t="s">
        <v>572</v>
      </c>
      <c r="C29" s="496" t="s">
        <v>628</v>
      </c>
      <c r="D29" s="559">
        <f>IF(I71="UDEN FOR OMRÅDET","NOT POSSIBLE",IF(J71="UDEN FOR OMRÅDET","NOT POSSIBLE",(0.0000000087*B6^4-0.0000042912*B6^3+0.000602127*B6^2+0.0030265472*B6+0.2709223762)))</f>
        <v>2.863062524200001</v>
      </c>
      <c r="E29" s="560">
        <f>IF(I71="UDEN FOR OMRÅDET","NOT POSSIBLE",IF($B$6&lt;36.5,27,((((0.00003815*B6^3-0.00623625*B6^2+0.39933964*B6+18.87714266))))))</f>
        <v>32.115435260000005</v>
      </c>
      <c r="J29" s="489"/>
    </row>
    <row r="30" spans="1:10" x14ac:dyDescent="0.2">
      <c r="A30" s="613" t="s">
        <v>724</v>
      </c>
      <c r="B30" s="494" t="s">
        <v>577</v>
      </c>
      <c r="C30" s="494" t="s">
        <v>629</v>
      </c>
      <c r="D30" s="559">
        <f>IF(I72="UDEN FOR OMRÅDET","NOT POSSIBLE",IF(J72="UDEN FOR OMRÅDET","NOT POSSIBLE",(0.0000000079*B6^4-0.0000031427*B6^3+0.0003781874*B6^2+0.0139576939*B6+0.0433215217)))</f>
        <v>2.5901226127000001</v>
      </c>
      <c r="E30" s="560">
        <f>IF(I72="UDEN FOR OMRÅDET","NOT POSSIBLE",IF($B$6&lt;70.4,21,((((-1.6666666667*D30^3+13.5*D30^2-27.8333333333*D30+37))))))</f>
        <v>26.515434102469321</v>
      </c>
      <c r="J30" s="489"/>
    </row>
    <row r="31" spans="1:10" x14ac:dyDescent="0.2">
      <c r="A31" s="495" t="s">
        <v>725</v>
      </c>
      <c r="B31" s="496" t="s">
        <v>578</v>
      </c>
      <c r="C31" s="496" t="s">
        <v>630</v>
      </c>
      <c r="D31" s="559">
        <f>IF(I73="UDEN FOR OMRÅDET","NOT POSSIBLE",IF(J73="UDEN FOR OMRÅDET","NOT POSSIBLE",(0.000000004262661*B6^4-0.000002203935325*B6^3+0.000349196460344*B6^2+0.003639383225018*B6+0.193846671691572)))</f>
        <v>2.0228868270145921</v>
      </c>
      <c r="E31" s="560">
        <f>IF(I73="UDEN FOR OMRÅDET","NOT POSSIBLE",IF($B$6&lt;89,33,((((-0.6666666667*D31^3+9.5*D31^2-22.8333333333*D31+47))))))</f>
        <v>34.166895205557601</v>
      </c>
      <c r="J31" s="489"/>
    </row>
    <row r="32" spans="1:10" x14ac:dyDescent="0.2">
      <c r="A32" s="613" t="s">
        <v>726</v>
      </c>
      <c r="B32" s="494" t="s">
        <v>637</v>
      </c>
      <c r="C32" s="494" t="s">
        <v>632</v>
      </c>
      <c r="D32" s="559" t="str">
        <f>IF(I74="UDEN FOR OMRÅDET","NOT POSSIBLE",IF(J74="UDEN FOR OMRÅDET","NOT POSSIBLE",(-0.000000006659004*B6^4+0.000004735461176*B6^3-0.001276874830972*B6^2+0.177325762767072*B6-7.83507332221808)))</f>
        <v>NOT POSSIBLE</v>
      </c>
      <c r="E32" s="560" t="str">
        <f>IF(I74="UDEN FOR OMRÅDET","NOT POSSIBLE",IF($B$6&lt;70.4,21,((((-0.5*D32^3+4.49999999999909*D32^2-4.99999999999727*D32+11.999999999996))))))</f>
        <v>NOT POSSIBLE</v>
      </c>
      <c r="J32" s="489"/>
    </row>
    <row r="33" spans="1:10" x14ac:dyDescent="0.2">
      <c r="A33" s="495" t="s">
        <v>727</v>
      </c>
      <c r="B33" s="496" t="s">
        <v>638</v>
      </c>
      <c r="C33" s="496" t="s">
        <v>631</v>
      </c>
      <c r="D33" s="559" t="str">
        <f>IF(I75="UDEN FOR OMRÅDET","NOT POSSIBLE",IF(J75="UDEN FOR OMRÅDET","NOT POSSIBLE",(-0.000000000611426*B6^4+0.000000656353947*B6^3-0.000284996728231*B6^2+0.074287325446848*B6-5.10628086784494)))</f>
        <v>NOT POSSIBLE</v>
      </c>
      <c r="E33" s="560" t="str">
        <f>IF(I75="UDEN FOR OMRÅDET","NOT POSSIBLE",IF($B$6&lt;89,33,((((-2.16666666666652*D33^3+17.9999999999977*D33^2-28.8333333333271*D33+43.9999999999905))))))</f>
        <v>NOT POSSIBLE</v>
      </c>
      <c r="J33" s="489"/>
    </row>
    <row r="34" spans="1:10" x14ac:dyDescent="0.2">
      <c r="A34" s="613" t="s">
        <v>728</v>
      </c>
      <c r="B34" s="494" t="s">
        <v>639</v>
      </c>
      <c r="C34" s="494" t="s">
        <v>636</v>
      </c>
      <c r="D34" s="559" t="str">
        <f>IF(I76="UDEN FOR OMRÅDET","NOT POSSIBLE",IF(J76="UDEN FOR OMRÅDET","NOT POSSIBLE",(-2.52847125E-12*B6^5+4.68657669347E-09*B6^4-3.38486827279208E-06*B6^3+0.00116642754838534*B6^2-0.177120541975483*B6+10.2818610440989)))</f>
        <v>NOT POSSIBLE</v>
      </c>
      <c r="E34" s="560" t="str">
        <f>IF(I76="UDEN FOR OMRÅDET","NOT POSSIBLE",IF($B$6&lt;70.4,21,((((-0.833333*D34^3+7.5*D34^2-11.666667*D34+15))))))</f>
        <v>NOT POSSIBLE</v>
      </c>
      <c r="J34" s="489"/>
    </row>
    <row r="35" spans="1:10" x14ac:dyDescent="0.2">
      <c r="A35" s="495" t="s">
        <v>729</v>
      </c>
      <c r="B35" s="496" t="s">
        <v>640</v>
      </c>
      <c r="C35" s="496" t="s">
        <v>623</v>
      </c>
      <c r="D35" s="559" t="str">
        <f>IF(I77="UDEN FOR OMRÅDET","NOT POSSIBLE",IF(J77="UDEN FOR OMRÅDET","NOT POSSIBLE",(8.5275752E-13*B6^5-1.96247855196E-09*B6^4+1.79855952093491E-06*B6^3-0.000825168971576492*B6^2+0.197731076146651*B6-18.0380359494749
)))</f>
        <v>NOT POSSIBLE</v>
      </c>
      <c r="E35" s="560" t="str">
        <f>IF(I77="UDEN FOR OMRÅDET","NOT POSSIBLE",IF($B$6&lt;89,33,((((-0.833333*D35^3+10*D35^2-14.166667*D35+20))))))</f>
        <v>NOT POSSIBLE</v>
      </c>
      <c r="J35" s="489"/>
    </row>
    <row r="36" spans="1:10" x14ac:dyDescent="0.2">
      <c r="A36" s="613" t="s">
        <v>730</v>
      </c>
      <c r="B36" s="494" t="s">
        <v>639</v>
      </c>
      <c r="C36" s="494" t="s">
        <v>636</v>
      </c>
      <c r="D36" s="559" t="str">
        <f>IF(I78="UDEN FOR OMRÅDET","NOT POSSIBLE",IF(J78="UDEN FOR OMRÅDET","NOT POSSIBLE",(-2.52847125E-12*B6^5+4.68657669347E-09*B6^4-3.38486827279208E-06*B6^3+0.00116642754838534*B6^2-0.177120541975483*B6+10.2818610440989)))</f>
        <v>NOT POSSIBLE</v>
      </c>
      <c r="E36" s="560" t="str">
        <f>IF(I78="UDEN FOR OMRÅDET","NOT POSSIBLE",IF($B$6&lt;70.4,21,((((-0.833333*D36^3+7.5*D36^2-11.666667*D36+15))))))</f>
        <v>NOT POSSIBLE</v>
      </c>
      <c r="J36" s="489"/>
    </row>
    <row r="37" spans="1:10" ht="13.5" thickBot="1" x14ac:dyDescent="0.25">
      <c r="A37" s="497" t="s">
        <v>731</v>
      </c>
      <c r="B37" s="498" t="s">
        <v>640</v>
      </c>
      <c r="C37" s="498" t="s">
        <v>623</v>
      </c>
      <c r="D37" s="561" t="str">
        <f>IF(I79="UDEN FOR OMRÅDET","NOT POSSIBLE",IF(J79="UDEN FOR OMRÅDET","NOT POSSIBLE",(8.5275752E-13*B6^5-1.96247855196E-09*B6^4+1.79855952093491E-06*B6^3-0.000825168971576492*B6^2+0.197731076146651*B6-18.0380359494749
)))</f>
        <v>NOT POSSIBLE</v>
      </c>
      <c r="E37" s="562" t="str">
        <f>IF(I79="UDEN FOR OMRÅDET","NOT POSSIBLE",IF($B$6&lt;89,33,((((-0.833333*D37^3+10*D37^2-14.166667*D37+20))))))</f>
        <v>NOT POSSIBLE</v>
      </c>
      <c r="J37" s="489"/>
    </row>
    <row r="38" spans="1:10" ht="13.5" thickTop="1" x14ac:dyDescent="0.2">
      <c r="A38" s="487"/>
      <c r="J38" s="489"/>
    </row>
    <row r="39" spans="1:10" x14ac:dyDescent="0.2">
      <c r="A39" s="487"/>
      <c r="J39" s="489"/>
    </row>
    <row r="40" spans="1:10" x14ac:dyDescent="0.2">
      <c r="A40" s="487"/>
      <c r="J40" s="489"/>
    </row>
    <row r="41" spans="1:10" x14ac:dyDescent="0.2">
      <c r="A41" s="487"/>
      <c r="J41" s="489"/>
    </row>
    <row r="42" spans="1:10" x14ac:dyDescent="0.2">
      <c r="A42" s="487"/>
      <c r="J42" s="489"/>
    </row>
    <row r="43" spans="1:10" x14ac:dyDescent="0.2">
      <c r="A43" s="487"/>
      <c r="J43" s="489"/>
    </row>
    <row r="44" spans="1:10" x14ac:dyDescent="0.2">
      <c r="A44" s="487"/>
      <c r="J44" s="489"/>
    </row>
    <row r="45" spans="1:10" x14ac:dyDescent="0.2">
      <c r="A45" s="487"/>
      <c r="J45" s="489"/>
    </row>
    <row r="46" spans="1:10" x14ac:dyDescent="0.2">
      <c r="A46" s="487"/>
      <c r="E46" s="499"/>
      <c r="J46" s="489"/>
    </row>
    <row r="47" spans="1:10" ht="13.5" thickBot="1" x14ac:dyDescent="0.25">
      <c r="A47" s="29" t="s">
        <v>173</v>
      </c>
      <c r="B47" s="500"/>
      <c r="C47" s="500"/>
      <c r="D47" s="500"/>
      <c r="E47" s="500"/>
      <c r="F47" s="500"/>
      <c r="G47" s="500"/>
      <c r="H47" s="500"/>
      <c r="I47" s="500"/>
      <c r="J47" s="501"/>
    </row>
    <row r="48" spans="1:10" ht="10.5" customHeight="1" thickTop="1" x14ac:dyDescent="0.2"/>
    <row r="49" spans="1:13" hidden="1" x14ac:dyDescent="0.2">
      <c r="L49" s="502"/>
      <c r="M49" s="502"/>
    </row>
    <row r="50" spans="1:13" s="504" customFormat="1" ht="31.5" hidden="1" customHeight="1" x14ac:dyDescent="0.4">
      <c r="A50" s="896" t="s">
        <v>11</v>
      </c>
      <c r="B50" s="896"/>
      <c r="C50" s="896"/>
      <c r="D50" s="897"/>
      <c r="E50" s="897"/>
      <c r="F50" s="897"/>
      <c r="G50" s="897"/>
      <c r="H50" s="897"/>
      <c r="I50" s="897"/>
      <c r="J50" s="897"/>
      <c r="K50" s="503"/>
    </row>
    <row r="51" spans="1:13" ht="13.5" hidden="1" thickBot="1" x14ac:dyDescent="0.25"/>
    <row r="52" spans="1:13" ht="13.5" hidden="1" thickTop="1" x14ac:dyDescent="0.2">
      <c r="A52" s="505" t="s">
        <v>0</v>
      </c>
      <c r="B52" s="506"/>
      <c r="C52" s="506"/>
      <c r="D52" s="507" t="s">
        <v>1</v>
      </c>
      <c r="E52" s="507" t="s">
        <v>3</v>
      </c>
      <c r="F52" s="507" t="s">
        <v>8</v>
      </c>
      <c r="G52" s="507" t="s">
        <v>4</v>
      </c>
      <c r="H52" s="507" t="s">
        <v>5</v>
      </c>
      <c r="I52" s="508" t="s">
        <v>6</v>
      </c>
      <c r="J52" s="509"/>
    </row>
    <row r="53" spans="1:13" ht="13.5" hidden="1" thickBot="1" x14ac:dyDescent="0.25">
      <c r="A53" s="612" t="s">
        <v>707</v>
      </c>
      <c r="B53" s="593"/>
      <c r="C53" s="593"/>
      <c r="D53" s="594"/>
      <c r="E53" s="594"/>
      <c r="F53" s="594">
        <v>19.2</v>
      </c>
      <c r="G53" s="594">
        <v>1.4</v>
      </c>
      <c r="H53" s="594">
        <v>11.5</v>
      </c>
      <c r="I53" s="516" t="str">
        <f t="shared" ref="I53:I79" si="0">IF($B$6&lt;=G53-0.001,"UDEN FOR OMRÅDET",IF($B$6&gt;=H53+0.1,"UDEN FOR OMRÅDET",$B$6))</f>
        <v>UDEN FOR OMRÅDET</v>
      </c>
      <c r="J53" s="595"/>
    </row>
    <row r="54" spans="1:13" hidden="1" x14ac:dyDescent="0.2">
      <c r="A54" s="510" t="s">
        <v>706</v>
      </c>
      <c r="B54" s="511"/>
      <c r="C54" s="511"/>
      <c r="D54" s="512"/>
      <c r="E54" s="512"/>
      <c r="F54" s="513">
        <v>33.5</v>
      </c>
      <c r="G54" s="514">
        <v>2.48</v>
      </c>
      <c r="H54" s="515">
        <v>15</v>
      </c>
      <c r="I54" s="516" t="str">
        <f t="shared" si="0"/>
        <v>UDEN FOR OMRÅDET</v>
      </c>
      <c r="J54" s="517"/>
    </row>
    <row r="55" spans="1:13" ht="13.5" hidden="1" thickBot="1" x14ac:dyDescent="0.25">
      <c r="A55" s="518" t="s">
        <v>705</v>
      </c>
      <c r="B55" s="511"/>
      <c r="C55" s="511"/>
      <c r="D55" s="512"/>
      <c r="E55" s="512"/>
      <c r="F55" s="513">
        <v>33.5</v>
      </c>
      <c r="G55" s="514">
        <v>3.92</v>
      </c>
      <c r="H55" s="515">
        <v>24</v>
      </c>
      <c r="I55" s="516" t="str">
        <f t="shared" si="0"/>
        <v>UDEN FOR OMRÅDET</v>
      </c>
      <c r="J55" s="517"/>
    </row>
    <row r="56" spans="1:13" hidden="1" x14ac:dyDescent="0.2">
      <c r="A56" s="510" t="s">
        <v>708</v>
      </c>
      <c r="B56" s="511"/>
      <c r="C56" s="511"/>
      <c r="D56" s="512"/>
      <c r="E56" s="512"/>
      <c r="F56" s="513">
        <v>33.5</v>
      </c>
      <c r="G56" s="514">
        <v>2.48</v>
      </c>
      <c r="H56" s="515">
        <v>15</v>
      </c>
      <c r="I56" s="516" t="str">
        <f t="shared" si="0"/>
        <v>UDEN FOR OMRÅDET</v>
      </c>
      <c r="J56" s="517"/>
    </row>
    <row r="57" spans="1:13" hidden="1" x14ac:dyDescent="0.2">
      <c r="A57" s="518" t="s">
        <v>709</v>
      </c>
      <c r="B57" s="511"/>
      <c r="C57" s="511"/>
      <c r="D57" s="512"/>
      <c r="E57" s="512"/>
      <c r="F57" s="513">
        <v>33.5</v>
      </c>
      <c r="G57" s="514">
        <v>4.2</v>
      </c>
      <c r="H57" s="515">
        <v>24</v>
      </c>
      <c r="I57" s="516" t="str">
        <f t="shared" si="0"/>
        <v>UDEN FOR OMRÅDET</v>
      </c>
      <c r="J57" s="517"/>
    </row>
    <row r="58" spans="1:13" hidden="1" x14ac:dyDescent="0.2">
      <c r="A58" s="519" t="s">
        <v>712</v>
      </c>
      <c r="B58" s="511"/>
      <c r="C58" s="511"/>
      <c r="D58" s="512"/>
      <c r="E58" s="512"/>
      <c r="F58" s="513">
        <v>50</v>
      </c>
      <c r="G58" s="514">
        <v>4.38</v>
      </c>
      <c r="H58" s="515">
        <v>25</v>
      </c>
      <c r="I58" s="516" t="str">
        <f t="shared" si="0"/>
        <v>UDEN FOR OMRÅDET</v>
      </c>
      <c r="J58" s="517"/>
    </row>
    <row r="59" spans="1:13" ht="13.5" hidden="1" thickBot="1" x14ac:dyDescent="0.25">
      <c r="A59" s="518" t="s">
        <v>713</v>
      </c>
      <c r="B59" s="511"/>
      <c r="C59" s="511"/>
      <c r="D59" s="512"/>
      <c r="E59" s="512"/>
      <c r="F59" s="513">
        <v>50</v>
      </c>
      <c r="G59" s="514">
        <v>5.95</v>
      </c>
      <c r="H59" s="515">
        <v>35</v>
      </c>
      <c r="I59" s="516" t="str">
        <f t="shared" si="0"/>
        <v>UDEN FOR OMRÅDET</v>
      </c>
      <c r="J59" s="517"/>
    </row>
    <row r="60" spans="1:13" hidden="1" x14ac:dyDescent="0.2">
      <c r="A60" s="510" t="s">
        <v>710</v>
      </c>
      <c r="B60" s="511"/>
      <c r="C60" s="511"/>
      <c r="D60" s="512"/>
      <c r="E60" s="512"/>
      <c r="F60" s="513">
        <v>50</v>
      </c>
      <c r="G60" s="514">
        <v>4.38</v>
      </c>
      <c r="H60" s="515">
        <v>25</v>
      </c>
      <c r="I60" s="516" t="str">
        <f t="shared" si="0"/>
        <v>UDEN FOR OMRÅDET</v>
      </c>
      <c r="J60" s="517"/>
    </row>
    <row r="61" spans="1:13" hidden="1" x14ac:dyDescent="0.2">
      <c r="A61" s="518" t="s">
        <v>711</v>
      </c>
      <c r="B61" s="511"/>
      <c r="C61" s="511"/>
      <c r="D61" s="512"/>
      <c r="E61" s="512"/>
      <c r="F61" s="513">
        <v>50</v>
      </c>
      <c r="G61" s="514">
        <v>5.95</v>
      </c>
      <c r="H61" s="515">
        <v>35</v>
      </c>
      <c r="I61" s="516" t="str">
        <f t="shared" si="0"/>
        <v>UDEN FOR OMRÅDET</v>
      </c>
      <c r="J61" s="517"/>
    </row>
    <row r="62" spans="1:13" hidden="1" x14ac:dyDescent="0.2">
      <c r="A62" s="519" t="s">
        <v>714</v>
      </c>
      <c r="B62" s="511"/>
      <c r="C62" s="511"/>
      <c r="D62" s="512"/>
      <c r="E62" s="512"/>
      <c r="F62" s="513">
        <v>68</v>
      </c>
      <c r="G62" s="514">
        <v>5.3</v>
      </c>
      <c r="H62" s="515">
        <v>34</v>
      </c>
      <c r="I62" s="516" t="str">
        <f t="shared" si="0"/>
        <v>UDEN FOR OMRÅDET</v>
      </c>
      <c r="J62" s="517"/>
    </row>
    <row r="63" spans="1:13" ht="13.5" hidden="1" thickBot="1" x14ac:dyDescent="0.25">
      <c r="A63" s="518" t="s">
        <v>715</v>
      </c>
      <c r="B63" s="511"/>
      <c r="C63" s="511"/>
      <c r="D63" s="512"/>
      <c r="E63" s="512"/>
      <c r="F63" s="513">
        <v>68</v>
      </c>
      <c r="G63" s="514">
        <v>7</v>
      </c>
      <c r="H63" s="515">
        <v>43</v>
      </c>
      <c r="I63" s="516" t="str">
        <f t="shared" si="0"/>
        <v>UDEN FOR OMRÅDET</v>
      </c>
      <c r="J63" s="517"/>
    </row>
    <row r="64" spans="1:13" hidden="1" x14ac:dyDescent="0.2">
      <c r="A64" s="510" t="s">
        <v>716</v>
      </c>
      <c r="B64" s="511"/>
      <c r="C64" s="511"/>
      <c r="D64" s="512"/>
      <c r="E64" s="512"/>
      <c r="F64" s="513">
        <v>68</v>
      </c>
      <c r="G64" s="514">
        <v>5.34</v>
      </c>
      <c r="H64" s="515">
        <v>34</v>
      </c>
      <c r="I64" s="516" t="str">
        <f t="shared" si="0"/>
        <v>UDEN FOR OMRÅDET</v>
      </c>
      <c r="J64" s="517"/>
    </row>
    <row r="65" spans="1:10" hidden="1" x14ac:dyDescent="0.2">
      <c r="A65" s="518" t="s">
        <v>717</v>
      </c>
      <c r="B65" s="511"/>
      <c r="C65" s="511"/>
      <c r="D65" s="512"/>
      <c r="E65" s="512"/>
      <c r="F65" s="513">
        <v>68</v>
      </c>
      <c r="G65" s="514">
        <v>7.02</v>
      </c>
      <c r="H65" s="515">
        <v>43</v>
      </c>
      <c r="I65" s="516" t="str">
        <f t="shared" si="0"/>
        <v>UDEN FOR OMRÅDET</v>
      </c>
      <c r="J65" s="517"/>
    </row>
    <row r="66" spans="1:10" hidden="1" x14ac:dyDescent="0.2">
      <c r="A66" s="519" t="s">
        <v>718</v>
      </c>
      <c r="B66" s="511"/>
      <c r="C66" s="511"/>
      <c r="D66" s="512"/>
      <c r="E66" s="512"/>
      <c r="F66" s="513">
        <v>115</v>
      </c>
      <c r="G66" s="514">
        <v>12.1</v>
      </c>
      <c r="H66" s="515">
        <v>68</v>
      </c>
      <c r="I66" s="516" t="str">
        <f t="shared" si="0"/>
        <v>UDEN FOR OMRÅDET</v>
      </c>
      <c r="J66" s="517"/>
    </row>
    <row r="67" spans="1:10" ht="13.5" hidden="1" thickBot="1" x14ac:dyDescent="0.25">
      <c r="A67" s="518" t="s">
        <v>719</v>
      </c>
      <c r="B67" s="511"/>
      <c r="C67" s="511"/>
      <c r="D67" s="512"/>
      <c r="E67" s="512"/>
      <c r="F67" s="513">
        <v>115</v>
      </c>
      <c r="G67" s="514">
        <v>14.8</v>
      </c>
      <c r="H67" s="515">
        <v>90</v>
      </c>
      <c r="I67" s="516">
        <f t="shared" si="0"/>
        <v>90</v>
      </c>
      <c r="J67" s="517"/>
    </row>
    <row r="68" spans="1:10" hidden="1" x14ac:dyDescent="0.2">
      <c r="A68" s="510" t="s">
        <v>720</v>
      </c>
      <c r="B68" s="511"/>
      <c r="C68" s="511"/>
      <c r="D68" s="512"/>
      <c r="E68" s="512"/>
      <c r="F68" s="513">
        <v>115</v>
      </c>
      <c r="G68" s="514">
        <v>12.1</v>
      </c>
      <c r="H68" s="515">
        <v>68</v>
      </c>
      <c r="I68" s="516" t="str">
        <f t="shared" si="0"/>
        <v>UDEN FOR OMRÅDET</v>
      </c>
      <c r="J68" s="517"/>
    </row>
    <row r="69" spans="1:10" hidden="1" x14ac:dyDescent="0.2">
      <c r="A69" s="518" t="s">
        <v>721</v>
      </c>
      <c r="B69" s="511"/>
      <c r="C69" s="511"/>
      <c r="D69" s="512"/>
      <c r="E69" s="512"/>
      <c r="F69" s="513">
        <v>115</v>
      </c>
      <c r="G69" s="514">
        <v>14.8</v>
      </c>
      <c r="H69" s="515">
        <v>90</v>
      </c>
      <c r="I69" s="516">
        <f t="shared" si="0"/>
        <v>90</v>
      </c>
      <c r="J69" s="517"/>
    </row>
    <row r="70" spans="1:10" hidden="1" x14ac:dyDescent="0.2">
      <c r="A70" s="519" t="s">
        <v>722</v>
      </c>
      <c r="B70" s="511"/>
      <c r="C70" s="511"/>
      <c r="D70" s="512"/>
      <c r="E70" s="512"/>
      <c r="F70" s="513">
        <v>167</v>
      </c>
      <c r="G70" s="443">
        <v>18.5</v>
      </c>
      <c r="H70" s="515">
        <v>110</v>
      </c>
      <c r="I70" s="516">
        <f t="shared" si="0"/>
        <v>90</v>
      </c>
      <c r="J70" s="517"/>
    </row>
    <row r="71" spans="1:10" hidden="1" x14ac:dyDescent="0.2">
      <c r="A71" s="518" t="s">
        <v>723</v>
      </c>
      <c r="B71" s="511"/>
      <c r="C71" s="511"/>
      <c r="D71" s="512"/>
      <c r="E71" s="512"/>
      <c r="F71" s="513">
        <v>167</v>
      </c>
      <c r="G71" s="443">
        <v>23</v>
      </c>
      <c r="H71" s="515">
        <v>135</v>
      </c>
      <c r="I71" s="516">
        <f t="shared" si="0"/>
        <v>90</v>
      </c>
      <c r="J71" s="517"/>
    </row>
    <row r="72" spans="1:10" hidden="1" x14ac:dyDescent="0.2">
      <c r="A72" s="519" t="s">
        <v>724</v>
      </c>
      <c r="B72" s="511"/>
      <c r="C72" s="511"/>
      <c r="D72" s="512"/>
      <c r="E72" s="512"/>
      <c r="F72" s="513">
        <v>250</v>
      </c>
      <c r="G72" s="443">
        <v>25.6</v>
      </c>
      <c r="H72" s="515">
        <v>148</v>
      </c>
      <c r="I72" s="516">
        <f t="shared" si="0"/>
        <v>90</v>
      </c>
      <c r="J72" s="517"/>
    </row>
    <row r="73" spans="1:10" hidden="1" x14ac:dyDescent="0.2">
      <c r="A73" s="518" t="s">
        <v>725</v>
      </c>
      <c r="B73" s="511"/>
      <c r="C73" s="511"/>
      <c r="D73" s="512"/>
      <c r="E73" s="512"/>
      <c r="F73" s="513">
        <v>241.9</v>
      </c>
      <c r="G73" s="443">
        <v>32</v>
      </c>
      <c r="H73" s="515">
        <v>195</v>
      </c>
      <c r="I73" s="516">
        <f t="shared" si="0"/>
        <v>90</v>
      </c>
      <c r="J73" s="517"/>
    </row>
    <row r="74" spans="1:10" hidden="1" x14ac:dyDescent="0.2">
      <c r="A74" s="519" t="s">
        <v>726</v>
      </c>
      <c r="B74" s="511"/>
      <c r="C74" s="511"/>
      <c r="D74" s="512"/>
      <c r="E74" s="512"/>
      <c r="F74" s="513">
        <v>371</v>
      </c>
      <c r="G74" s="443">
        <v>95</v>
      </c>
      <c r="H74" s="515">
        <v>210</v>
      </c>
      <c r="I74" s="516" t="str">
        <f t="shared" si="0"/>
        <v>UDEN FOR OMRÅDET</v>
      </c>
      <c r="J74" s="517"/>
    </row>
    <row r="75" spans="1:10" hidden="1" x14ac:dyDescent="0.2">
      <c r="A75" s="518" t="s">
        <v>727</v>
      </c>
      <c r="B75" s="511"/>
      <c r="C75" s="511"/>
      <c r="D75" s="512"/>
      <c r="E75" s="512"/>
      <c r="F75" s="513">
        <v>317</v>
      </c>
      <c r="G75" s="443">
        <v>130</v>
      </c>
      <c r="H75" s="515">
        <v>280</v>
      </c>
      <c r="I75" s="516" t="str">
        <f t="shared" si="0"/>
        <v>UDEN FOR OMRÅDET</v>
      </c>
      <c r="J75" s="517"/>
    </row>
    <row r="76" spans="1:10" hidden="1" x14ac:dyDescent="0.2">
      <c r="A76" s="519" t="s">
        <v>728</v>
      </c>
      <c r="B76" s="511"/>
      <c r="C76" s="511"/>
      <c r="D76" s="512"/>
      <c r="E76" s="512"/>
      <c r="F76" s="513">
        <v>840</v>
      </c>
      <c r="G76" s="443">
        <v>190</v>
      </c>
      <c r="H76" s="515">
        <v>475</v>
      </c>
      <c r="I76" s="516" t="str">
        <f t="shared" si="0"/>
        <v>UDEN FOR OMRÅDET</v>
      </c>
      <c r="J76" s="517"/>
    </row>
    <row r="77" spans="1:10" hidden="1" x14ac:dyDescent="0.2">
      <c r="A77" s="518" t="s">
        <v>729</v>
      </c>
      <c r="B77" s="511"/>
      <c r="C77" s="511"/>
      <c r="D77" s="512"/>
      <c r="E77" s="512"/>
      <c r="F77" s="513">
        <v>717</v>
      </c>
      <c r="G77" s="443">
        <v>245</v>
      </c>
      <c r="H77" s="515">
        <v>600</v>
      </c>
      <c r="I77" s="516" t="str">
        <f t="shared" si="0"/>
        <v>UDEN FOR OMRÅDET</v>
      </c>
      <c r="J77" s="517"/>
    </row>
    <row r="78" spans="1:10" hidden="1" x14ac:dyDescent="0.2">
      <c r="A78" s="519" t="s">
        <v>730</v>
      </c>
      <c r="B78" s="511"/>
      <c r="C78" s="511"/>
      <c r="D78" s="512"/>
      <c r="E78" s="512"/>
      <c r="F78" s="513">
        <v>840</v>
      </c>
      <c r="G78" s="443">
        <v>190</v>
      </c>
      <c r="H78" s="515">
        <v>475</v>
      </c>
      <c r="I78" s="516" t="str">
        <f t="shared" si="0"/>
        <v>UDEN FOR OMRÅDET</v>
      </c>
      <c r="J78" s="517"/>
    </row>
    <row r="79" spans="1:10" hidden="1" x14ac:dyDescent="0.2">
      <c r="A79" s="518" t="s">
        <v>731</v>
      </c>
      <c r="B79" s="511"/>
      <c r="C79" s="511"/>
      <c r="D79" s="512"/>
      <c r="E79" s="512"/>
      <c r="F79" s="513">
        <v>717</v>
      </c>
      <c r="G79" s="443">
        <v>245</v>
      </c>
      <c r="H79" s="515">
        <v>600</v>
      </c>
      <c r="I79" s="516" t="str">
        <f t="shared" si="0"/>
        <v>UDEN FOR OMRÅDET</v>
      </c>
      <c r="J79" s="517"/>
    </row>
    <row r="80" spans="1:10" hidden="1" x14ac:dyDescent="0.2"/>
    <row r="81" hidden="1" x14ac:dyDescent="0.2"/>
  </sheetData>
  <sheetProtection sheet="1" objects="1" scenarios="1"/>
  <mergeCells count="6">
    <mergeCell ref="A1:J1"/>
    <mergeCell ref="A50:J50"/>
    <mergeCell ref="A2:J2"/>
    <mergeCell ref="A9:A10"/>
    <mergeCell ref="B9:C9"/>
    <mergeCell ref="D9:E9"/>
  </mergeCells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1"/>
  <sheetViews>
    <sheetView showGridLines="0" zoomScaleNormal="100" workbookViewId="0">
      <selection activeCell="M12" sqref="M12"/>
    </sheetView>
  </sheetViews>
  <sheetFormatPr defaultColWidth="8.85546875" defaultRowHeight="12.75" x14ac:dyDescent="0.2"/>
  <cols>
    <col min="1" max="2" width="14.28515625" customWidth="1"/>
    <col min="3" max="3" width="15.7109375" customWidth="1"/>
    <col min="4" max="4" width="16.42578125" customWidth="1"/>
    <col min="5" max="5" width="15.7109375" hidden="1" customWidth="1"/>
    <col min="6" max="6" width="15.7109375" customWidth="1"/>
    <col min="7" max="8" width="10.7109375" customWidth="1"/>
    <col min="9" max="9" width="7.140625" hidden="1" customWidth="1"/>
    <col min="10" max="10" width="10.7109375" customWidth="1"/>
    <col min="11" max="11" width="20.42578125" bestFit="1" customWidth="1"/>
    <col min="15" max="16" width="20.28515625" bestFit="1" customWidth="1"/>
  </cols>
  <sheetData>
    <row r="1" spans="1:12" ht="21" thickTop="1" x14ac:dyDescent="0.3">
      <c r="A1" s="880" t="s">
        <v>98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5"/>
    </row>
    <row r="2" spans="1:12" ht="21" thickBot="1" x14ac:dyDescent="0.35">
      <c r="A2" s="889" t="s">
        <v>853</v>
      </c>
      <c r="B2" s="890"/>
      <c r="C2" s="890"/>
      <c r="D2" s="890"/>
      <c r="E2" s="890"/>
      <c r="F2" s="890"/>
      <c r="G2" s="890"/>
      <c r="H2" s="890"/>
      <c r="I2" s="890"/>
      <c r="J2" s="890"/>
      <c r="K2" s="891"/>
      <c r="L2" s="5"/>
    </row>
    <row r="3" spans="1:12" ht="13.5" thickTop="1" x14ac:dyDescent="0.2">
      <c r="A3" s="20"/>
      <c r="B3" s="50"/>
      <c r="C3" s="50"/>
      <c r="D3" s="21"/>
      <c r="E3" s="21"/>
      <c r="F3" s="21"/>
      <c r="G3" s="21"/>
      <c r="H3" s="21"/>
      <c r="I3" s="21"/>
      <c r="J3" s="21"/>
      <c r="K3" s="22"/>
    </row>
    <row r="4" spans="1:12" ht="13.5" thickBot="1" x14ac:dyDescent="0.25">
      <c r="A4" s="24"/>
      <c r="B4" s="19" t="s">
        <v>25</v>
      </c>
      <c r="D4" s="25"/>
      <c r="K4" s="23"/>
    </row>
    <row r="5" spans="1:12" hidden="1" x14ac:dyDescent="0.2">
      <c r="A5" s="32" t="s">
        <v>66</v>
      </c>
      <c r="B5" s="33">
        <v>20</v>
      </c>
      <c r="C5" s="26" t="s">
        <v>67</v>
      </c>
      <c r="K5" s="23"/>
    </row>
    <row r="6" spans="1:12" ht="13.5" thickBot="1" x14ac:dyDescent="0.25">
      <c r="A6" s="32" t="s">
        <v>56</v>
      </c>
      <c r="B6" s="441">
        <v>2204</v>
      </c>
      <c r="C6" s="26" t="s">
        <v>69</v>
      </c>
      <c r="D6" s="25"/>
      <c r="H6" s="25"/>
      <c r="K6" s="23"/>
    </row>
    <row r="7" spans="1:12" x14ac:dyDescent="0.2">
      <c r="A7" s="24"/>
      <c r="H7" s="25"/>
      <c r="K7" s="23"/>
    </row>
    <row r="8" spans="1:12" ht="13.5" thickBot="1" x14ac:dyDescent="0.25">
      <c r="A8" s="24"/>
      <c r="K8" s="23"/>
    </row>
    <row r="9" spans="1:12" ht="13.5" thickTop="1" x14ac:dyDescent="0.2">
      <c r="A9" s="886" t="s">
        <v>24</v>
      </c>
      <c r="B9" s="901" t="s">
        <v>60</v>
      </c>
      <c r="C9" s="902"/>
      <c r="D9" s="884" t="s">
        <v>70</v>
      </c>
      <c r="E9" s="884"/>
      <c r="F9" s="885"/>
      <c r="K9" s="23"/>
    </row>
    <row r="10" spans="1:12" ht="13.5" thickBot="1" x14ac:dyDescent="0.25">
      <c r="A10" s="900"/>
      <c r="B10" s="472" t="s">
        <v>55</v>
      </c>
      <c r="C10" s="230" t="s">
        <v>99</v>
      </c>
      <c r="D10" s="69" t="s">
        <v>62</v>
      </c>
      <c r="E10" s="70" t="s">
        <v>71</v>
      </c>
      <c r="F10" s="71" t="s">
        <v>72</v>
      </c>
      <c r="K10" s="23"/>
    </row>
    <row r="11" spans="1:12" x14ac:dyDescent="0.2">
      <c r="A11" s="473" t="s">
        <v>100</v>
      </c>
      <c r="B11" s="474" t="s">
        <v>101</v>
      </c>
      <c r="C11" s="474" t="s">
        <v>91</v>
      </c>
      <c r="D11" s="563" t="str">
        <f>IF(J39="UDEN FOR OMRÅDET","NOT POSSIBLE",IF(K39="UDEN FOR OMRÅDET","NOT POSSIBLE",(0.006398*B6)))</f>
        <v>NOT POSSIBLE</v>
      </c>
      <c r="E11" s="564" t="e">
        <f>-0.000498*D11^5+0.005871*D11^4-0.024468*D11^3+0.037541*D11^2+0.381317*D11+0.010176</f>
        <v>#VALUE!</v>
      </c>
      <c r="F11" s="552" t="str">
        <f>IF(J39="UDEN FOR OMRÅDET","NOT POSSIBLE",IF($B$6&lt;80,14,(((($B$6/1000)/E11)^2)*100)))</f>
        <v>NOT POSSIBLE</v>
      </c>
      <c r="K11" s="23"/>
    </row>
    <row r="12" spans="1:12" x14ac:dyDescent="0.2">
      <c r="A12" s="447" t="s">
        <v>102</v>
      </c>
      <c r="B12" s="232" t="s">
        <v>103</v>
      </c>
      <c r="C12" s="232" t="s">
        <v>91</v>
      </c>
      <c r="D12" s="551" t="str">
        <f>IF(J40="UDEN FOR OMRÅDET","NOT POSSIBLE",IF(K40="UDEN FOR OMRÅDET","NOT POSSIBLE",(1.5247152E-18*B6^6-8.2348324758E-15*B6^5+1.77995508585783E-11*B6^4-1.9235480640142E-08*B6^3+0.0000108015895489203*B6^2-0.0010007046626199*B6+0.323878177531235)))</f>
        <v>NOT POSSIBLE</v>
      </c>
      <c r="E12" s="549" t="e">
        <f>-0.0039861079*D12^6+0.0576732375*D12^5-0.3302802366*D12^4+0.9223643621*D12^3-1.3894548228*D12^2+2.3343882681*D12-0.2516773097</f>
        <v>#VALUE!</v>
      </c>
      <c r="F12" s="552" t="str">
        <f>IF(J40="UDEN FOR OMRÅDET","NOT POSSIBLE",IF($B$6&lt;50,14,(((($B$6/1000)/E12)^2)*100)))</f>
        <v>NOT POSSIBLE</v>
      </c>
      <c r="K12" s="23"/>
    </row>
    <row r="13" spans="1:12" x14ac:dyDescent="0.2">
      <c r="A13" s="470" t="s">
        <v>104</v>
      </c>
      <c r="B13" s="462" t="s">
        <v>105</v>
      </c>
      <c r="C13" s="462" t="s">
        <v>91</v>
      </c>
      <c r="D13" s="551" t="str">
        <f>IF(J41="UDEN FOR OMRÅDET","NOT POSSIBLE",IF(K41="UDEN FOR OMRÅDET","NOT POSSIBLE",(0.00380952380952*B6)))</f>
        <v>NOT POSSIBLE</v>
      </c>
      <c r="E13" s="549" t="e">
        <f>-0.0086*D13^2+0.6881*D13+0.0087</f>
        <v>#VALUE!</v>
      </c>
      <c r="F13" s="552" t="str">
        <f>IF(J41="UDEN FOR OMRÅDET","NOT POSSIBLE",IF($B$6&lt;50,12,(((($B$6/1000)/E13)^2)*100)))</f>
        <v>NOT POSSIBLE</v>
      </c>
      <c r="K13" s="23"/>
    </row>
    <row r="14" spans="1:12" x14ac:dyDescent="0.2">
      <c r="A14" s="447" t="s">
        <v>106</v>
      </c>
      <c r="B14" s="232" t="s">
        <v>107</v>
      </c>
      <c r="C14" s="232" t="s">
        <v>108</v>
      </c>
      <c r="D14" s="551" t="str">
        <f>IF(J42="UDEN FOR OMRÅDET","NOT POSSIBLE",IF(K42="UDEN FOR OMRÅDET","NOT POSSIBLE",(0.000000000000578*B6^4-0.000000002249803*B6^3+0.000002989997209*B6^2+0.000191821643646*B6+0.246094550041393)))</f>
        <v>NOT POSSIBLE</v>
      </c>
      <c r="E14" s="549" t="e">
        <f>-0.0014892869*D14^6+0.0257700614*D14^5-0.1995231772*D14^4+0.7772951529*D14^3-1.6065084156*D14^2+2.8484843634*D14-0.2996802496</f>
        <v>#VALUE!</v>
      </c>
      <c r="F14" s="552" t="str">
        <f>IF(J42="UDEN FOR OMRÅDET","NOT POSSIBLE",IF($B$6&lt;250,12,(((($B$6/1000)/E14)^2)*100)))</f>
        <v>NOT POSSIBLE</v>
      </c>
      <c r="K14" s="23"/>
    </row>
    <row r="15" spans="1:12" x14ac:dyDescent="0.2">
      <c r="A15" s="470" t="s">
        <v>109</v>
      </c>
      <c r="B15" s="462" t="s">
        <v>110</v>
      </c>
      <c r="C15" s="462" t="s">
        <v>91</v>
      </c>
      <c r="D15" s="551" t="str">
        <f>IF(J43="UDEN FOR OMRÅDET","NOT POSSIBLE",IF(K43="UDEN FOR OMRÅDET","NOT POSSIBLE",(0.000000000000879*B6^4-0.0000000026564*B6^3+0.000002790146767*B6^2+0.000779022750185*B6+0.204989267294888)))</f>
        <v>NOT POSSIBLE</v>
      </c>
      <c r="E15" s="549" t="e">
        <f>0.0002*D15^4-0.0403*D15^3+0.1197*D15^2+1.2343*D15-0.0137</f>
        <v>#VALUE!</v>
      </c>
      <c r="F15" s="552" t="str">
        <f>IF(J43="UDEN FOR OMRÅDET","NOT POSSIBLE",IF($B$6&lt;240,13.5,(((($B$6/1000)/E15)^2)*100)))</f>
        <v>NOT POSSIBLE</v>
      </c>
      <c r="K15" s="23"/>
    </row>
    <row r="16" spans="1:12" x14ac:dyDescent="0.2">
      <c r="A16" s="447" t="s">
        <v>111</v>
      </c>
      <c r="B16" s="232" t="s">
        <v>107</v>
      </c>
      <c r="C16" s="232" t="s">
        <v>91</v>
      </c>
      <c r="D16" s="551" t="str">
        <f>IF(J44="UDEN FOR OMRÅDET","NOT POSSIBLE",IF(K44="UDEN FOR OMRÅDET","NOT POSSIBLE",(0.0000000000005607*B6^4-0.0000000022474923*B6^3+0.0000031352071003*B6^2-0.0000239414697848*B6+0.326255940065591)))</f>
        <v>NOT POSSIBLE</v>
      </c>
      <c r="E16" s="549" t="e">
        <f xml:space="preserve"> -0.0295*D16^4+0.235*D16^3-0.7397*D16^2+2.2089*D16-0.1367</f>
        <v>#VALUE!</v>
      </c>
      <c r="F16" s="552" t="str">
        <f>IF(J44="UDEN FOR OMRÅDET","NOT POSSIBLE",IF($B$6&lt;440,13.5,(((($B$6/1000)/E16)^2)*100)))</f>
        <v>NOT POSSIBLE</v>
      </c>
      <c r="K16" s="23"/>
    </row>
    <row r="17" spans="1:11" x14ac:dyDescent="0.2">
      <c r="A17" s="470" t="s">
        <v>89</v>
      </c>
      <c r="B17" s="462" t="s">
        <v>112</v>
      </c>
      <c r="C17" s="462" t="s">
        <v>91</v>
      </c>
      <c r="D17" s="551">
        <f>IF(J45="UDEN FOR OMRÅDET","NOT POSSIBLE",IF(K45="UDEN FOR OMRÅDET","NOT POSSIBLE",(0.000000000000082*B6^4-0.000000000447909*B6^3+0.000000882571919*B6^2+0.000393485172707*B6+0.170008718433059)))</f>
        <v>2.4639561220712078</v>
      </c>
      <c r="E17" s="549">
        <f>-0.0009*D17^4-0.0408*D17^3+0.0532*D17^2+2.2639*D17+0.1485</f>
        <v>5.4061374338092785</v>
      </c>
      <c r="F17" s="552">
        <f>IF(J45="UDEN FOR OMRÅDET","NOT POSSIBLE",IF($B$6&lt;600,14,(((($B$6/1000)/E17)^2)*100)))</f>
        <v>16.620688733166073</v>
      </c>
      <c r="K17" s="23"/>
    </row>
    <row r="18" spans="1:11" x14ac:dyDescent="0.2">
      <c r="A18" s="447" t="s">
        <v>92</v>
      </c>
      <c r="B18" s="232" t="s">
        <v>113</v>
      </c>
      <c r="C18" s="232" t="s">
        <v>78</v>
      </c>
      <c r="D18" s="551">
        <f>IF(J46="UDEN FOR OMRÅDET","NOT POSSIBLE",IF(K46="UDEN FOR OMRÅDET","NOT POSSIBLE",IF(B6&gt;7050,4,(1.991E-21*B6^6-5.04426806E-17*B6^5+5.194999038249E-13*B6^4-2.7718399824566E-09*B6^3+0.0000080806755838486*B6^2-0.0118695972480039*B6+7.26406638121848))))</f>
        <v>0.54366834668613162</v>
      </c>
      <c r="E18" s="549">
        <f>0.0314*D18^4+0.0298*D18^3-2.4926*D18^2+10.917*D18+0.215</f>
        <v>5.4210083812601182</v>
      </c>
      <c r="F18" s="552">
        <f>IF(J46="UDEN FOR OMRÅDET","NOT POSSIBLE",IF($B$6&lt;2068,16,(((($B$6/1000)/E18)^2)*100)))</f>
        <v>16.529625831767756</v>
      </c>
      <c r="K18" s="23"/>
    </row>
    <row r="19" spans="1:11" ht="13.5" thickBot="1" x14ac:dyDescent="0.25">
      <c r="A19" s="471" t="s">
        <v>95</v>
      </c>
      <c r="B19" s="466" t="s">
        <v>114</v>
      </c>
      <c r="C19" s="466" t="s">
        <v>115</v>
      </c>
      <c r="D19" s="553">
        <f>IF(J47="UDEN FOR OMRÅDET","NOT POSSIBLE",IF(K47="UDEN FOR OMRÅDET","NOT POSSIBLE",IF(B6&gt;8450,4,(1.259599584E-21*B6^6-3.8397324403082E-17*B6^5+4.73777385425659E-13*B6^4-3.01075699136702E-09*B6^3+0.0000103574489737108*B6^2-0.0180028315642146*B6+12.784869126445))))</f>
        <v>0.5123377037145378</v>
      </c>
      <c r="E19" s="554">
        <f>0.027692*D19^5-0.37669*D19^4+2.212005*D19^3-7.704196*D19^2+16.629417*D19-1.55</f>
        <v>5.2201048879559995</v>
      </c>
      <c r="F19" s="555">
        <f>IF(J47="UDEN FOR OMRÅDET","NOT POSSIBLE",IF($B$6&lt;2265,19,(((($B$6/1000)/E19)^2)*100)))</f>
        <v>19</v>
      </c>
      <c r="K19" s="23"/>
    </row>
    <row r="20" spans="1:11" ht="13.5" thickTop="1" x14ac:dyDescent="0.2">
      <c r="A20" s="24"/>
      <c r="E20" s="27"/>
      <c r="K20" s="23"/>
    </row>
    <row r="21" spans="1:11" x14ac:dyDescent="0.2">
      <c r="A21" s="24"/>
      <c r="E21" s="25"/>
      <c r="F21" s="25"/>
      <c r="K21" s="23"/>
    </row>
    <row r="22" spans="1:11" x14ac:dyDescent="0.2">
      <c r="A22" s="24"/>
      <c r="E22" s="19"/>
      <c r="K22" s="23"/>
    </row>
    <row r="23" spans="1:11" x14ac:dyDescent="0.2">
      <c r="A23" s="24"/>
      <c r="E23" s="58"/>
      <c r="K23" s="23"/>
    </row>
    <row r="24" spans="1:11" x14ac:dyDescent="0.2">
      <c r="A24" s="24"/>
      <c r="E24" s="58"/>
      <c r="K24" s="23"/>
    </row>
    <row r="25" spans="1:11" x14ac:dyDescent="0.2">
      <c r="A25" s="24"/>
      <c r="E25" s="58"/>
      <c r="K25" s="23"/>
    </row>
    <row r="26" spans="1:11" x14ac:dyDescent="0.2">
      <c r="A26" s="24"/>
      <c r="E26" s="58"/>
      <c r="K26" s="23"/>
    </row>
    <row r="27" spans="1:11" x14ac:dyDescent="0.2">
      <c r="A27" s="24"/>
      <c r="E27" s="58"/>
      <c r="K27" s="23"/>
    </row>
    <row r="28" spans="1:11" x14ac:dyDescent="0.2">
      <c r="A28" s="24"/>
      <c r="E28" s="58"/>
      <c r="K28" s="23"/>
    </row>
    <row r="29" spans="1:11" x14ac:dyDescent="0.2">
      <c r="A29" s="24"/>
      <c r="E29" s="58"/>
      <c r="K29" s="23"/>
    </row>
    <row r="30" spans="1:11" x14ac:dyDescent="0.2">
      <c r="A30" s="24"/>
      <c r="E30" s="58"/>
      <c r="K30" s="23"/>
    </row>
    <row r="31" spans="1:11" x14ac:dyDescent="0.2">
      <c r="A31" s="24"/>
      <c r="E31" s="58"/>
      <c r="K31" s="23"/>
    </row>
    <row r="32" spans="1:11" x14ac:dyDescent="0.2">
      <c r="A32" s="24"/>
      <c r="F32" s="28"/>
      <c r="K32" s="23"/>
    </row>
    <row r="33" spans="1:12" ht="13.5" thickBot="1" x14ac:dyDescent="0.25">
      <c r="A33" s="29" t="s">
        <v>64</v>
      </c>
      <c r="B33" s="30"/>
      <c r="C33" s="30"/>
      <c r="D33" s="30"/>
      <c r="E33" s="30"/>
      <c r="F33" s="30"/>
      <c r="G33" s="30"/>
      <c r="H33" s="30"/>
      <c r="I33" s="30"/>
      <c r="J33" s="30"/>
      <c r="K33" s="31"/>
    </row>
    <row r="34" spans="1:12" ht="10.5" customHeight="1" thickTop="1" x14ac:dyDescent="0.2"/>
    <row r="35" spans="1:12" hidden="1" x14ac:dyDescent="0.2"/>
    <row r="36" spans="1:12" s="4" customFormat="1" ht="31.5" hidden="1" customHeight="1" x14ac:dyDescent="0.4">
      <c r="A36" s="882" t="s">
        <v>11</v>
      </c>
      <c r="B36" s="882"/>
      <c r="C36" s="882"/>
      <c r="D36" s="883"/>
      <c r="E36" s="883"/>
      <c r="F36" s="883"/>
      <c r="G36" s="883"/>
      <c r="H36" s="883"/>
      <c r="I36" s="883"/>
      <c r="J36" s="883"/>
      <c r="K36" s="883"/>
      <c r="L36" s="6"/>
    </row>
    <row r="37" spans="1:12" ht="13.5" hidden="1" thickBot="1" x14ac:dyDescent="0.25"/>
    <row r="38" spans="1:12" ht="13.5" hidden="1" thickTop="1" x14ac:dyDescent="0.2">
      <c r="A38" s="9" t="s">
        <v>0</v>
      </c>
      <c r="B38" s="52"/>
      <c r="C38" s="52"/>
      <c r="D38" s="10" t="s">
        <v>1</v>
      </c>
      <c r="E38" s="10" t="s">
        <v>2</v>
      </c>
      <c r="F38" s="10" t="s">
        <v>3</v>
      </c>
      <c r="G38" s="10" t="s">
        <v>8</v>
      </c>
      <c r="H38" s="10" t="s">
        <v>4</v>
      </c>
      <c r="I38" s="10" t="s">
        <v>5</v>
      </c>
      <c r="J38" s="11" t="s">
        <v>6</v>
      </c>
      <c r="K38" s="12" t="s">
        <v>7</v>
      </c>
    </row>
    <row r="39" spans="1:12" hidden="1" x14ac:dyDescent="0.2">
      <c r="A39" s="13" t="s">
        <v>100</v>
      </c>
      <c r="B39" s="53"/>
      <c r="C39" s="53"/>
      <c r="D39" s="7"/>
      <c r="E39" s="59"/>
      <c r="F39" s="60"/>
      <c r="G39" s="61">
        <v>1.6</v>
      </c>
      <c r="H39" s="38">
        <v>78</v>
      </c>
      <c r="I39" s="1">
        <v>625</v>
      </c>
      <c r="J39" s="2" t="str">
        <f t="shared" ref="J39:J47" si="0">IF($B$6&lt;=H39-1,"UDEN FOR OMRÅDET",IF($B$6&gt;=I39+1,"UDEN FOR OMRÅDET",$B$6))</f>
        <v>UDEN FOR OMRÅDET</v>
      </c>
      <c r="K39" s="14">
        <f>IF($B$5&lt;=13,"UDEN FOR OMRÅDET",IF($B$5&gt;=401,"UDEN FOR OMRÅDET",$B$5))</f>
        <v>20</v>
      </c>
    </row>
    <row r="40" spans="1:12" hidden="1" x14ac:dyDescent="0.2">
      <c r="A40" s="13" t="s">
        <v>102</v>
      </c>
      <c r="B40" s="53"/>
      <c r="C40" s="53"/>
      <c r="D40" s="7"/>
      <c r="E40" s="59"/>
      <c r="F40" s="60"/>
      <c r="G40" s="61">
        <v>4.0999999999999996</v>
      </c>
      <c r="H40" s="38">
        <v>244</v>
      </c>
      <c r="I40" s="1">
        <v>1724</v>
      </c>
      <c r="J40" s="2" t="str">
        <f t="shared" si="0"/>
        <v>UDEN FOR OMRÅDET</v>
      </c>
      <c r="K40" s="14">
        <f>IF($B$5&lt;=13,"UDEN FOR OMRÅDET",IF($B$5&gt;=401,"UDEN FOR OMRÅDET",$B$5))</f>
        <v>20</v>
      </c>
    </row>
    <row r="41" spans="1:12" hidden="1" x14ac:dyDescent="0.2">
      <c r="A41" s="13" t="s">
        <v>104</v>
      </c>
      <c r="B41" s="53"/>
      <c r="C41" s="53"/>
      <c r="D41" s="7"/>
      <c r="E41" s="59"/>
      <c r="F41" s="60"/>
      <c r="G41" s="61">
        <v>2.6</v>
      </c>
      <c r="H41" s="38">
        <v>131</v>
      </c>
      <c r="I41" s="1">
        <v>1050</v>
      </c>
      <c r="J41" s="2" t="str">
        <f t="shared" si="0"/>
        <v>UDEN FOR OMRÅDET</v>
      </c>
      <c r="K41" s="14">
        <f>IF($B$5&lt;=13,"UDEN FOR OMRÅDET",IF($B$5&gt;=401,"UDEN FOR OMRÅDET",$B$5))</f>
        <v>20</v>
      </c>
    </row>
    <row r="42" spans="1:12" hidden="1" x14ac:dyDescent="0.2">
      <c r="A42" s="13" t="s">
        <v>106</v>
      </c>
      <c r="B42" s="53"/>
      <c r="C42" s="53"/>
      <c r="D42" s="7"/>
      <c r="E42" s="59"/>
      <c r="F42" s="60"/>
      <c r="G42" s="61">
        <v>4.3</v>
      </c>
      <c r="H42" s="38">
        <v>292</v>
      </c>
      <c r="I42" s="1">
        <v>2039</v>
      </c>
      <c r="J42" s="2" t="str">
        <f t="shared" si="0"/>
        <v>UDEN FOR OMRÅDET</v>
      </c>
      <c r="K42" s="14">
        <f>IF($B$5&lt;=13,"UDEN FOR OMRÅDET",IF($B$5&gt;=401,"UDEN FOR OMRÅDET",$B$5))</f>
        <v>20</v>
      </c>
    </row>
    <row r="43" spans="1:12" hidden="1" x14ac:dyDescent="0.2">
      <c r="A43" s="13" t="s">
        <v>109</v>
      </c>
      <c r="B43" s="53"/>
      <c r="C43" s="53"/>
      <c r="D43" s="7"/>
      <c r="E43" s="59"/>
      <c r="F43" s="60"/>
      <c r="G43" s="61">
        <v>4.3</v>
      </c>
      <c r="H43" s="38">
        <v>231</v>
      </c>
      <c r="I43" s="1">
        <v>1722</v>
      </c>
      <c r="J43" s="2" t="str">
        <f t="shared" si="0"/>
        <v>UDEN FOR OMRÅDET</v>
      </c>
      <c r="K43" s="14">
        <f>IF($B$5&lt;=13,"UDEN FOR OMRÅDET",IF($B$5&gt;=401,"UDEN FOR OMRÅDET",$B$5))</f>
        <v>20</v>
      </c>
    </row>
    <row r="44" spans="1:12" hidden="1" x14ac:dyDescent="0.2">
      <c r="A44" s="13" t="s">
        <v>111</v>
      </c>
      <c r="B44" s="53"/>
      <c r="C44" s="53"/>
      <c r="D44" s="7"/>
      <c r="E44" s="59"/>
      <c r="F44" s="60"/>
      <c r="G44" s="61">
        <v>4.3</v>
      </c>
      <c r="H44" s="38">
        <v>292</v>
      </c>
      <c r="I44" s="1">
        <v>2039</v>
      </c>
      <c r="J44" s="2" t="str">
        <f t="shared" si="0"/>
        <v>UDEN FOR OMRÅDET</v>
      </c>
      <c r="K44" s="14">
        <f>IF($B$5&lt;=14,"UDEN FOR OMRÅDET",IF($B$5&gt;=401,"UDEN FOR OMRÅDET",$B$5))</f>
        <v>20</v>
      </c>
    </row>
    <row r="45" spans="1:12" hidden="1" x14ac:dyDescent="0.2">
      <c r="A45" s="13" t="s">
        <v>89</v>
      </c>
      <c r="B45" s="53"/>
      <c r="C45" s="53"/>
      <c r="D45" s="7"/>
      <c r="E45" s="59"/>
      <c r="F45" s="60"/>
      <c r="G45" s="61">
        <v>7.2</v>
      </c>
      <c r="H45" s="38">
        <v>465</v>
      </c>
      <c r="I45" s="1">
        <v>3056</v>
      </c>
      <c r="J45" s="2">
        <f t="shared" si="0"/>
        <v>2204</v>
      </c>
      <c r="K45" s="14">
        <f>IF($B$5&lt;=13,"UDEN FOR OMRÅDET",IF($B$5&gt;=401,"UDEN FOR OMRÅDET",$B$5))</f>
        <v>20</v>
      </c>
    </row>
    <row r="46" spans="1:12" hidden="1" x14ac:dyDescent="0.2">
      <c r="A46" s="13" t="s">
        <v>92</v>
      </c>
      <c r="B46" s="53"/>
      <c r="C46" s="53"/>
      <c r="D46" s="7"/>
      <c r="E46" s="62"/>
      <c r="F46" s="63"/>
      <c r="G46" s="64">
        <v>13.9</v>
      </c>
      <c r="H46" s="2">
        <v>2022</v>
      </c>
      <c r="I46" s="2">
        <v>7105</v>
      </c>
      <c r="J46" s="2">
        <f t="shared" si="0"/>
        <v>2204</v>
      </c>
      <c r="K46" s="14">
        <f>IF($B$5&lt;=15,"UDEN FOR OMRÅDET",IF($B$5&gt;=401,"UDEN FOR OMRÅDET",$B$5))</f>
        <v>20</v>
      </c>
    </row>
    <row r="47" spans="1:12" ht="13.5" hidden="1" thickBot="1" x14ac:dyDescent="0.25">
      <c r="A47" s="15" t="s">
        <v>95</v>
      </c>
      <c r="B47" s="54"/>
      <c r="C47" s="54"/>
      <c r="D47" s="39"/>
      <c r="E47" s="65"/>
      <c r="F47" s="66"/>
      <c r="G47" s="67">
        <v>15.2</v>
      </c>
      <c r="H47" s="17">
        <v>2204</v>
      </c>
      <c r="I47" s="17">
        <v>8586</v>
      </c>
      <c r="J47" s="17">
        <f t="shared" si="0"/>
        <v>2204</v>
      </c>
      <c r="K47" s="18">
        <f>IF($B$5&lt;=18,"UDEN FOR OMRÅDET",IF($B$5&gt;=401,"UDEN FOR OMRÅDET",$B$5))</f>
        <v>20</v>
      </c>
    </row>
    <row r="48" spans="1:12" ht="13.5" hidden="1" thickTop="1" x14ac:dyDescent="0.2">
      <c r="A48" s="8"/>
      <c r="B48" s="8"/>
      <c r="C48" s="8"/>
    </row>
    <row r="51" spans="5:5" x14ac:dyDescent="0.2">
      <c r="E51" s="27"/>
    </row>
  </sheetData>
  <sheetProtection sheet="1" objects="1" scenarios="1"/>
  <mergeCells count="6">
    <mergeCell ref="A1:K1"/>
    <mergeCell ref="A36:K36"/>
    <mergeCell ref="A2:K2"/>
    <mergeCell ref="D9:F9"/>
    <mergeCell ref="A9:A10"/>
    <mergeCell ref="B9:C9"/>
  </mergeCells>
  <phoneticPr fontId="0" type="noConversion"/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7"/>
  <sheetViews>
    <sheetView showGridLines="0" zoomScaleNormal="100" workbookViewId="0">
      <selection activeCell="K6" sqref="K6"/>
    </sheetView>
  </sheetViews>
  <sheetFormatPr defaultColWidth="8.85546875" defaultRowHeight="12.75" x14ac:dyDescent="0.2"/>
  <cols>
    <col min="1" max="1" width="23.7109375" customWidth="1"/>
    <col min="2" max="2" width="14.28515625" customWidth="1"/>
    <col min="3" max="3" width="15.7109375" customWidth="1"/>
    <col min="4" max="4" width="16.42578125" customWidth="1"/>
    <col min="5" max="5" width="15.7109375" customWidth="1"/>
    <col min="6" max="7" width="10.7109375" customWidth="1"/>
    <col min="8" max="8" width="7.140625" customWidth="1"/>
    <col min="9" max="9" width="10.7109375" customWidth="1"/>
    <col min="10" max="10" width="20.42578125" bestFit="1" customWidth="1"/>
    <col min="14" max="15" width="20.28515625" bestFit="1" customWidth="1"/>
  </cols>
  <sheetData>
    <row r="1" spans="1:11" ht="21" thickTop="1" x14ac:dyDescent="0.3">
      <c r="A1" s="880" t="s">
        <v>781</v>
      </c>
      <c r="B1" s="881"/>
      <c r="C1" s="881"/>
      <c r="D1" s="881"/>
      <c r="E1" s="881"/>
      <c r="F1" s="881"/>
      <c r="G1" s="881"/>
      <c r="H1" s="881"/>
      <c r="I1" s="881"/>
      <c r="J1" s="892"/>
      <c r="K1" s="5"/>
    </row>
    <row r="2" spans="1:11" ht="21" thickBot="1" x14ac:dyDescent="0.35">
      <c r="A2" s="889" t="s">
        <v>853</v>
      </c>
      <c r="B2" s="890"/>
      <c r="C2" s="890"/>
      <c r="D2" s="890"/>
      <c r="E2" s="890"/>
      <c r="F2" s="890"/>
      <c r="G2" s="890"/>
      <c r="H2" s="890"/>
      <c r="I2" s="890"/>
      <c r="J2" s="891"/>
      <c r="K2" s="5"/>
    </row>
    <row r="3" spans="1:11" ht="13.5" thickTop="1" x14ac:dyDescent="0.2">
      <c r="A3" s="20"/>
      <c r="B3" s="50"/>
      <c r="C3" s="50"/>
      <c r="D3" s="21"/>
      <c r="E3" s="21"/>
      <c r="F3" s="21"/>
      <c r="G3" s="21"/>
      <c r="H3" s="21"/>
      <c r="I3" s="21"/>
      <c r="J3" s="22"/>
    </row>
    <row r="4" spans="1:11" ht="13.5" thickBot="1" x14ac:dyDescent="0.25">
      <c r="A4" s="24"/>
      <c r="B4" s="19" t="s">
        <v>25</v>
      </c>
      <c r="D4" s="25"/>
      <c r="J4" s="23"/>
    </row>
    <row r="5" spans="1:11" hidden="1" x14ac:dyDescent="0.2">
      <c r="A5" s="32" t="s">
        <v>66</v>
      </c>
      <c r="B5" s="33">
        <v>20</v>
      </c>
      <c r="C5" s="26" t="s">
        <v>67</v>
      </c>
      <c r="J5" s="23"/>
    </row>
    <row r="6" spans="1:11" ht="13.5" thickBot="1" x14ac:dyDescent="0.25">
      <c r="A6" s="32" t="s">
        <v>56</v>
      </c>
      <c r="B6" s="441">
        <v>5000</v>
      </c>
      <c r="C6" s="26" t="s">
        <v>69</v>
      </c>
      <c r="D6" s="25"/>
      <c r="G6" s="25"/>
      <c r="J6" s="23"/>
    </row>
    <row r="7" spans="1:11" x14ac:dyDescent="0.2">
      <c r="A7" s="24"/>
      <c r="G7" s="25"/>
      <c r="J7" s="23"/>
    </row>
    <row r="8" spans="1:11" ht="13.5" thickBot="1" x14ac:dyDescent="0.25">
      <c r="A8" s="24"/>
      <c r="J8" s="23"/>
    </row>
    <row r="9" spans="1:11" ht="13.5" thickTop="1" x14ac:dyDescent="0.2">
      <c r="A9" s="893" t="s">
        <v>24</v>
      </c>
      <c r="B9" s="888" t="s">
        <v>60</v>
      </c>
      <c r="C9" s="888"/>
      <c r="D9" s="888" t="s">
        <v>70</v>
      </c>
      <c r="E9" s="895"/>
      <c r="J9" s="23"/>
    </row>
    <row r="10" spans="1:11" x14ac:dyDescent="0.2">
      <c r="A10" s="903"/>
      <c r="B10" s="663" t="s">
        <v>55</v>
      </c>
      <c r="C10" s="663" t="s">
        <v>99</v>
      </c>
      <c r="D10" s="664" t="s">
        <v>62</v>
      </c>
      <c r="E10" s="36" t="s">
        <v>72</v>
      </c>
      <c r="J10" s="23"/>
    </row>
    <row r="11" spans="1:11" x14ac:dyDescent="0.2">
      <c r="A11" s="665" t="s">
        <v>165</v>
      </c>
      <c r="B11" s="666" t="s">
        <v>546</v>
      </c>
      <c r="C11" s="666" t="s">
        <v>633</v>
      </c>
      <c r="D11" s="667" t="str">
        <f>IF(I41="UDEN FOR OMRÅDET","NOT POSSIBLE",IF(J41="UDEN FOR OMRÅDET","NOT POSSIBLE",(0.0206*B6-0.1176)))</f>
        <v>NOT POSSIBLE</v>
      </c>
      <c r="E11" s="550" t="str">
        <f>IF(I41="UDEN FOR OMRÅDET","NOT POSSIBLE",IF($B$6&lt;30,14.3,((((-0.000003*B6^2+0.0097*B6+13.982))))))</f>
        <v>NOT POSSIBLE</v>
      </c>
      <c r="J11" s="23"/>
    </row>
    <row r="12" spans="1:11" x14ac:dyDescent="0.2">
      <c r="A12" s="668" t="s">
        <v>166</v>
      </c>
      <c r="B12" s="663" t="s">
        <v>547</v>
      </c>
      <c r="C12" s="663" t="s">
        <v>633</v>
      </c>
      <c r="D12" s="667" t="str">
        <f>IF(I42="UDEN FOR OMRÅDET","NOT POSSIBLE",IF(J42="UDEN FOR OMRÅDET","NOT POSSIBLE",(0.0111*B6-0.1246)))</f>
        <v>NOT POSSIBLE</v>
      </c>
      <c r="E12" s="550" t="str">
        <f>IF(I42="UDEN FOR OMRÅDET","NOT POSSIBLE",IF($B$6&lt;66,14.6,((((-0.000003*B6^2+0.0097*B6+13.982))))))</f>
        <v>NOT POSSIBLE</v>
      </c>
      <c r="J12" s="23"/>
    </row>
    <row r="13" spans="1:11" x14ac:dyDescent="0.2">
      <c r="A13" s="665" t="s">
        <v>167</v>
      </c>
      <c r="B13" s="666" t="s">
        <v>546</v>
      </c>
      <c r="C13" s="666" t="s">
        <v>633</v>
      </c>
      <c r="D13" s="667" t="str">
        <f>IF(I43="UDEN FOR OMRÅDET","NOT POSSIBLE",IF(J43="UDEN FOR OMRÅDET","NOT POSSIBLE",(0.0206*B6-0.1176)))</f>
        <v>NOT POSSIBLE</v>
      </c>
      <c r="E13" s="550" t="str">
        <f>IF(I43="UDEN FOR OMRÅDET","NOT POSSIBLE",IF($B$6&lt;30,14.3,((((-0.000003*B6^2+0.0097*B6+13.982))))))</f>
        <v>NOT POSSIBLE</v>
      </c>
      <c r="J13" s="23"/>
    </row>
    <row r="14" spans="1:11" x14ac:dyDescent="0.2">
      <c r="A14" s="668" t="s">
        <v>168</v>
      </c>
      <c r="B14" s="663" t="s">
        <v>547</v>
      </c>
      <c r="C14" s="663" t="s">
        <v>633</v>
      </c>
      <c r="D14" s="667" t="str">
        <f>IF(I44="UDEN FOR OMRÅDET","NOT POSSIBLE",IF(J44="UDEN FOR OMRÅDET","NOT POSSIBLE",(0.0111*B6-0.1246)))</f>
        <v>NOT POSSIBLE</v>
      </c>
      <c r="E14" s="550" t="str">
        <f>IF(I44="UDEN FOR OMRÅDET","NOT POSSIBLE",IF($B$6&lt;66,14.6,((((-0.000003*B6^2+0.0097*B6+13.982))))))</f>
        <v>NOT POSSIBLE</v>
      </c>
      <c r="J14" s="23"/>
    </row>
    <row r="15" spans="1:11" x14ac:dyDescent="0.2">
      <c r="A15" s="665" t="s">
        <v>169</v>
      </c>
      <c r="B15" s="666" t="s">
        <v>548</v>
      </c>
      <c r="C15" s="666" t="s">
        <v>623</v>
      </c>
      <c r="D15" s="667" t="str">
        <f>IF(I45="UDEN FOR OMRÅDET","NOT POSSIBLE",IF(J45="UDEN FOR OMRÅDET","NOT POSSIBLE",(0.0072*B6-0.1158)))</f>
        <v>NOT POSSIBLE</v>
      </c>
      <c r="E15" s="550" t="str">
        <f>IF(I45="UDEN FOR OMRÅDET","NOT POSSIBLE",IF($B$6&lt;97,14.9,((((-0.000003*B6^2+0.0097*B6+13.982))))))</f>
        <v>NOT POSSIBLE</v>
      </c>
      <c r="J15" s="23"/>
    </row>
    <row r="16" spans="1:11" x14ac:dyDescent="0.2">
      <c r="A16" s="668" t="s">
        <v>558</v>
      </c>
      <c r="B16" s="663" t="s">
        <v>550</v>
      </c>
      <c r="C16" s="663" t="s">
        <v>625</v>
      </c>
      <c r="D16" s="667" t="str">
        <f>IF(I46="UDEN FOR OMRÅDET","NOT POSSIBLE",IF(J46="UDEN FOR OMRÅDET","NOT POSSIBLE",( 0.0031*B6-0.0739)))</f>
        <v>NOT POSSIBLE</v>
      </c>
      <c r="E16" s="550" t="str">
        <f>IF(I46="UDEN FOR OMRÅDET","NOT POSSIBLE",IF($B$6&lt;219,16,((((-0.000003*B6^2+0.0097*B6+13.982))))))</f>
        <v>NOT POSSIBLE</v>
      </c>
      <c r="J16" s="23"/>
    </row>
    <row r="17" spans="1:10" x14ac:dyDescent="0.2">
      <c r="A17" s="669" t="s">
        <v>170</v>
      </c>
      <c r="B17" s="670" t="s">
        <v>548</v>
      </c>
      <c r="C17" s="670" t="s">
        <v>623</v>
      </c>
      <c r="D17" s="667" t="str">
        <f>IF(I47="UDEN FOR OMRÅDET","NOT POSSIBLE",IF(J47="UDEN FOR OMRÅDET","NOT POSSIBLE",(0.0072*B6-0.1158)))</f>
        <v>NOT POSSIBLE</v>
      </c>
      <c r="E17" s="550" t="str">
        <f>IF(I47="UDEN FOR OMRÅDET","NOT POSSIBLE",IF($B$6&lt;97,14.9,((((-0.000003*B6^2+0.0097*B6+13.982))))))</f>
        <v>NOT POSSIBLE</v>
      </c>
      <c r="J17" s="23"/>
    </row>
    <row r="18" spans="1:10" x14ac:dyDescent="0.2">
      <c r="A18" s="671" t="s">
        <v>702</v>
      </c>
      <c r="B18" s="663" t="s">
        <v>549</v>
      </c>
      <c r="C18" s="663" t="s">
        <v>623</v>
      </c>
      <c r="D18" s="667" t="str">
        <f>IF(I48="UDEN FOR OMRÅDET","NOT POSSIBLE",IF(J48="UDEN FOR OMRÅDET","NOT POSSIBLE",( 0.0041*B6-0.0554)))</f>
        <v>NOT POSSIBLE</v>
      </c>
      <c r="E18" s="550" t="str">
        <f>IF(I48="UDEN FOR OMRÅDET","NOT POSSIBLE",IF($B$6&lt;157,15.4,((((-0.000003*B6^2+0.0097*B6+13.982))))))</f>
        <v>NOT POSSIBLE</v>
      </c>
      <c r="J18" s="23"/>
    </row>
    <row r="19" spans="1:10" x14ac:dyDescent="0.2">
      <c r="A19" s="669" t="s">
        <v>172</v>
      </c>
      <c r="B19" s="670" t="s">
        <v>550</v>
      </c>
      <c r="C19" s="670" t="s">
        <v>625</v>
      </c>
      <c r="D19" s="667" t="str">
        <f>IF(I49="UDEN FOR OMRÅDET","NOT POSSIBLE",IF(J49="UDEN FOR OMRÅDET","NOT POSSIBLE",( 0.0031*B6-0.0739)))</f>
        <v>NOT POSSIBLE</v>
      </c>
      <c r="E19" s="550" t="str">
        <f>IF(I49="UDEN FOR OMRÅDET","NOT POSSIBLE",IF($B$6&lt;219,16,((((-0.000003*B6^2+0.0097*B6+13.982))))))</f>
        <v>NOT POSSIBLE</v>
      </c>
      <c r="J19" s="23"/>
    </row>
    <row r="20" spans="1:10" x14ac:dyDescent="0.2">
      <c r="A20" s="668" t="s">
        <v>588</v>
      </c>
      <c r="B20" s="663" t="s">
        <v>591</v>
      </c>
      <c r="C20" s="663" t="s">
        <v>634</v>
      </c>
      <c r="D20" s="667" t="str">
        <f>IF(I50="UDEN FOR OMRÅDET","NOT POSSIBLE",IF(J50="UDEN FOR OMRÅDET","NOT POSSIBLE",(ROUND(0.000000000000738*B6^4-0.000000003305773*B6^3+0.000004764953804*B6^2-0.000101647006109*B6+0.281655010967834,1))))</f>
        <v>NOT POSSIBLE</v>
      </c>
      <c r="E20" s="550" t="str">
        <f>IF(I50="UDEN FOR OMRÅDET","NOT POSSIBLE",IF($B$6&lt;219,16,((((-1.338352*D20^4+13.061298*D20^3-41.975654*D20^2+55.306489*D20-2.920448))))))</f>
        <v>NOT POSSIBLE</v>
      </c>
      <c r="J20" s="23"/>
    </row>
    <row r="21" spans="1:10" x14ac:dyDescent="0.2">
      <c r="A21" s="669" t="s">
        <v>589</v>
      </c>
      <c r="B21" s="670" t="s">
        <v>592</v>
      </c>
      <c r="C21" s="670" t="s">
        <v>623</v>
      </c>
      <c r="D21" s="667" t="str">
        <f>IF(I51="UDEN FOR OMRÅDET","NOT POSSIBLE",IF(J51="UDEN FOR OMRÅDET","NOT POSSIBLE",(ROUND(1.4E-19*B6^6-1.19861E-15*B6^5+4.13643328E-12*B6^4-7.13978266724E-09*B6^3+5.84387840760556E-06*B6^2+0.000579276541885037*B6+0.11330832994119,1))))</f>
        <v>NOT POSSIBLE</v>
      </c>
      <c r="E21" s="550" t="str">
        <f>IF(I51="UDEN FOR OMRÅDET","NOT POSSIBLE",IF($B$6&lt;219,16,((((-0.0488*D21^4+1.2823*D21^3-4.3242*D21^2+6.5949*D21+12.629))))))</f>
        <v>NOT POSSIBLE</v>
      </c>
      <c r="J21" s="23"/>
    </row>
    <row r="22" spans="1:10" x14ac:dyDescent="0.2">
      <c r="A22" s="668" t="s">
        <v>590</v>
      </c>
      <c r="B22" s="663" t="s">
        <v>556</v>
      </c>
      <c r="C22" s="663" t="s">
        <v>635</v>
      </c>
      <c r="D22" s="667" t="str">
        <f>IF(I52="UDEN FOR OMRÅDET","NOT POSSIBLE",IF(J52="UDEN FOR OMRÅDET","NOT POSSIBLE",( 0.00113*B6-0.077966)))</f>
        <v>NOT POSSIBLE</v>
      </c>
      <c r="E22" s="550" t="str">
        <f>IF(I52="UDEN FOR OMRÅDET","NOT POSSIBLE",IF($B$6&lt;600,17.3,((((0.1565*D22^3-0.4391*D22^2+0.7641*D22+16.949))))))</f>
        <v>NOT POSSIBLE</v>
      </c>
      <c r="J22" s="23"/>
    </row>
    <row r="23" spans="1:10" x14ac:dyDescent="0.2">
      <c r="A23" s="669" t="s">
        <v>50</v>
      </c>
      <c r="B23" s="670" t="s">
        <v>557</v>
      </c>
      <c r="C23" s="670" t="s">
        <v>634</v>
      </c>
      <c r="D23" s="667" t="str">
        <f>IF(I53="UDEN FOR OMRÅDET","NOT POSSIBLE",IF(J53="UDEN FOR OMRÅDET","NOT POSSIBLE",( 0.000985*B6+0.058128)))</f>
        <v>NOT POSSIBLE</v>
      </c>
      <c r="E23" s="550" t="str">
        <f>IF(I53="UDEN FOR OMRÅDET","NOT POSSIBLE",IF($B$6&lt;550,17.9,((((0.319164*D23^3-1.007683*D23^2+1.622683*D23+17.20149))))))</f>
        <v>NOT POSSIBLE</v>
      </c>
      <c r="J23" s="23"/>
    </row>
    <row r="24" spans="1:10" x14ac:dyDescent="0.2">
      <c r="A24" s="668" t="s">
        <v>51</v>
      </c>
      <c r="B24" s="663" t="s">
        <v>566</v>
      </c>
      <c r="C24" s="663" t="s">
        <v>636</v>
      </c>
      <c r="D24" s="667">
        <f>IF(I54="UDEN FOR OMRÅDET","NOT POSSIBLE",IF(J54="UDEN FOR OMRÅDET","NOT POSSIBLE",(0.00000000000288*B6^3-0.0000000664956*B6^2+0.00083885974318*B6-0.43240908305444)))</f>
        <v>2.4594996328455605</v>
      </c>
      <c r="E24" s="565">
        <f>IF(I54="UDEN FOR OMRÅDET","NOT POSSIBLE",IF($B$6&lt;1370,10,((((-0.00000000000001*B6^4+0.00000000017355*B6^3-0.00000068604015*B6^2+0.00101346313061*B6+9.48796472736388))))))</f>
        <v>12.84802663041388</v>
      </c>
      <c r="J24" s="23"/>
    </row>
    <row r="25" spans="1:10" ht="13.5" thickBot="1" x14ac:dyDescent="0.25">
      <c r="A25" s="525" t="s">
        <v>52</v>
      </c>
      <c r="B25" s="526" t="s">
        <v>567</v>
      </c>
      <c r="C25" s="526" t="s">
        <v>636</v>
      </c>
      <c r="D25" s="558">
        <f>IF(I55="UDEN FOR OMRÅDET","NOT POSSIBLE",IF(J55="UDEN FOR OMRÅDET","NOT POSSIBLE",(0.0000000000026361*B6^3-0.0000000676435205*B6^2+0.0008135531716385*B6-0.4034323654908)))</f>
        <v>2.3027579802017</v>
      </c>
      <c r="E25" s="566">
        <f>IF(I55="UDEN FOR OMRÅDET","NOT POSSIBLE",IF($B$6&lt;1370,10,((((-0.0000000000124303*B6^3+0.000000413233432*B6^2-0.0009155917685558*B6+10.7948844712801))))))</f>
        <v>14.993973928501102</v>
      </c>
      <c r="J25" s="23"/>
    </row>
    <row r="26" spans="1:10" ht="13.5" thickTop="1" x14ac:dyDescent="0.2">
      <c r="A26" s="611" t="s">
        <v>703</v>
      </c>
      <c r="J26" s="23"/>
    </row>
    <row r="27" spans="1:10" x14ac:dyDescent="0.2">
      <c r="A27" s="24"/>
      <c r="J27" s="23"/>
    </row>
    <row r="28" spans="1:10" x14ac:dyDescent="0.2">
      <c r="A28" s="24"/>
      <c r="J28" s="23"/>
    </row>
    <row r="29" spans="1:10" x14ac:dyDescent="0.2">
      <c r="A29" s="24"/>
      <c r="J29" s="23"/>
    </row>
    <row r="30" spans="1:10" x14ac:dyDescent="0.2">
      <c r="A30" s="24"/>
      <c r="J30" s="23"/>
    </row>
    <row r="31" spans="1:10" x14ac:dyDescent="0.2">
      <c r="A31" s="24"/>
      <c r="J31" s="23"/>
    </row>
    <row r="32" spans="1:10" x14ac:dyDescent="0.2">
      <c r="A32" s="24"/>
      <c r="J32" s="23"/>
    </row>
    <row r="33" spans="1:10" x14ac:dyDescent="0.2">
      <c r="A33" s="24"/>
      <c r="J33" s="23"/>
    </row>
    <row r="34" spans="1:10" x14ac:dyDescent="0.2">
      <c r="A34" s="24"/>
      <c r="J34" s="23"/>
    </row>
    <row r="35" spans="1:10" x14ac:dyDescent="0.2">
      <c r="A35" s="24"/>
      <c r="J35" s="23"/>
    </row>
    <row r="36" spans="1:10" x14ac:dyDescent="0.2">
      <c r="A36" s="24"/>
      <c r="E36" s="28"/>
      <c r="J36" s="23"/>
    </row>
    <row r="37" spans="1:10" ht="13.5" thickBot="1" x14ac:dyDescent="0.25">
      <c r="A37" s="451" t="s">
        <v>173</v>
      </c>
      <c r="B37" s="30"/>
      <c r="C37" s="30"/>
      <c r="D37" s="30"/>
      <c r="E37" s="30"/>
      <c r="F37" s="30"/>
      <c r="G37" s="30"/>
      <c r="H37" s="30"/>
      <c r="I37" s="30"/>
      <c r="J37" s="31"/>
    </row>
    <row r="38" spans="1:10" ht="10.5" customHeight="1" thickTop="1" x14ac:dyDescent="0.2"/>
    <row r="39" spans="1:10" ht="13.5" hidden="1" thickBot="1" x14ac:dyDescent="0.25"/>
    <row r="40" spans="1:10" ht="13.5" hidden="1" thickTop="1" x14ac:dyDescent="0.2">
      <c r="A40" s="9" t="s">
        <v>0</v>
      </c>
      <c r="B40" s="10"/>
      <c r="C40" s="10"/>
      <c r="D40" s="10" t="s">
        <v>1</v>
      </c>
      <c r="E40" s="10" t="s">
        <v>3</v>
      </c>
      <c r="F40" s="10" t="s">
        <v>8</v>
      </c>
      <c r="G40" s="10" t="s">
        <v>4</v>
      </c>
      <c r="H40" s="10" t="s">
        <v>5</v>
      </c>
      <c r="I40" s="11" t="s">
        <v>6</v>
      </c>
      <c r="J40" s="12" t="s">
        <v>7</v>
      </c>
    </row>
    <row r="41" spans="1:10" hidden="1" x14ac:dyDescent="0.2">
      <c r="A41" s="470" t="s">
        <v>165</v>
      </c>
      <c r="B41" s="452"/>
      <c r="C41" s="452"/>
      <c r="D41" s="7"/>
      <c r="E41" s="60"/>
      <c r="F41" s="61">
        <v>0.5</v>
      </c>
      <c r="G41" s="38">
        <v>30</v>
      </c>
      <c r="H41" s="1">
        <v>200</v>
      </c>
      <c r="I41" s="2" t="str">
        <f t="shared" ref="I41:I53" si="0">IF($B$6&lt;=G41-1,"UDEN FOR OMRÅDET",IF($B$6&gt;=H41+1,"UDEN FOR OMRÅDET",$B$6))</f>
        <v>UDEN FOR OMRÅDET</v>
      </c>
      <c r="J41" s="14">
        <f>IF($B$5&lt;=13,"UDEN FOR OMRÅDET",IF($B$5&gt;=401,"UDEN FOR OMRÅDET",$B$5))</f>
        <v>20</v>
      </c>
    </row>
    <row r="42" spans="1:10" hidden="1" x14ac:dyDescent="0.2">
      <c r="A42" s="447" t="s">
        <v>166</v>
      </c>
      <c r="B42" s="452"/>
      <c r="C42" s="452"/>
      <c r="D42" s="7"/>
      <c r="E42" s="60"/>
      <c r="F42" s="61">
        <v>0.9</v>
      </c>
      <c r="G42" s="38">
        <v>65</v>
      </c>
      <c r="H42" s="1">
        <v>370</v>
      </c>
      <c r="I42" s="2" t="str">
        <f t="shared" si="0"/>
        <v>UDEN FOR OMRÅDET</v>
      </c>
      <c r="J42" s="14">
        <f>IF($B$5&lt;=13,"UDEN FOR OMRÅDET",IF($B$5&gt;=401,"UDEN FOR OMRÅDET",$B$5))</f>
        <v>20</v>
      </c>
    </row>
    <row r="43" spans="1:10" hidden="1" x14ac:dyDescent="0.2">
      <c r="A43" s="470" t="s">
        <v>167</v>
      </c>
      <c r="B43" s="452"/>
      <c r="C43" s="452"/>
      <c r="D43" s="7"/>
      <c r="E43" s="60"/>
      <c r="F43" s="61">
        <v>0.5</v>
      </c>
      <c r="G43" s="38">
        <v>30</v>
      </c>
      <c r="H43" s="1">
        <v>200</v>
      </c>
      <c r="I43" s="2" t="str">
        <f t="shared" si="0"/>
        <v>UDEN FOR OMRÅDET</v>
      </c>
      <c r="J43" s="14">
        <f>IF($B$5&lt;=13,"UDEN FOR OMRÅDET",IF($B$5&gt;=401,"UDEN FOR OMRÅDET",$B$5))</f>
        <v>20</v>
      </c>
    </row>
    <row r="44" spans="1:10" hidden="1" x14ac:dyDescent="0.2">
      <c r="A44" s="447" t="s">
        <v>168</v>
      </c>
      <c r="B44" s="452"/>
      <c r="C44" s="452"/>
      <c r="D44" s="7"/>
      <c r="E44" s="60"/>
      <c r="F44" s="61">
        <v>0.9</v>
      </c>
      <c r="G44" s="38">
        <v>65</v>
      </c>
      <c r="H44" s="1">
        <v>370</v>
      </c>
      <c r="I44" s="2" t="str">
        <f t="shared" si="0"/>
        <v>UDEN FOR OMRÅDET</v>
      </c>
      <c r="J44" s="14">
        <f>IF($B$5&lt;=13,"UDEN FOR OMRÅDET",IF($B$5&gt;=401,"UDEN FOR OMRÅDET",$B$5))</f>
        <v>20</v>
      </c>
    </row>
    <row r="45" spans="1:10" hidden="1" x14ac:dyDescent="0.2">
      <c r="A45" s="470" t="s">
        <v>169</v>
      </c>
      <c r="B45" s="452"/>
      <c r="C45" s="452"/>
      <c r="D45" s="7"/>
      <c r="E45" s="60"/>
      <c r="F45" s="61">
        <v>1.3</v>
      </c>
      <c r="G45" s="38">
        <v>100</v>
      </c>
      <c r="H45" s="1">
        <v>575</v>
      </c>
      <c r="I45" s="2" t="str">
        <f t="shared" si="0"/>
        <v>UDEN FOR OMRÅDET</v>
      </c>
      <c r="J45" s="14">
        <f>IF($B$5&lt;=13,"UDEN FOR OMRÅDET",IF($B$5&gt;=401,"UDEN FOR OMRÅDET",$B$5))</f>
        <v>20</v>
      </c>
    </row>
    <row r="46" spans="1:10" hidden="1" x14ac:dyDescent="0.2">
      <c r="A46" s="447" t="s">
        <v>558</v>
      </c>
      <c r="B46" s="452"/>
      <c r="C46" s="452"/>
      <c r="D46" s="7"/>
      <c r="E46" s="63"/>
      <c r="F46" s="64">
        <v>2.7</v>
      </c>
      <c r="G46" s="2">
        <v>220</v>
      </c>
      <c r="H46" s="2">
        <v>1330</v>
      </c>
      <c r="I46" s="2" t="str">
        <f t="shared" ref="I46" si="1">IF($B$6&lt;=G46-1,"UDEN FOR OMRÅDET",IF($B$6&gt;=H46+1,"UDEN FOR OMRÅDET",$B$6))</f>
        <v>UDEN FOR OMRÅDET</v>
      </c>
      <c r="J46" s="14">
        <f>IF($B$5&lt;=15,"UDEN FOR OMRÅDET",IF($B$5&gt;=401,"UDEN FOR OMRÅDET",$B$5))</f>
        <v>20</v>
      </c>
    </row>
    <row r="47" spans="1:10" hidden="1" x14ac:dyDescent="0.2">
      <c r="A47" s="447" t="s">
        <v>170</v>
      </c>
      <c r="B47" s="452"/>
      <c r="C47" s="452"/>
      <c r="D47" s="7"/>
      <c r="E47" s="60"/>
      <c r="F47" s="61">
        <v>1.3</v>
      </c>
      <c r="G47" s="38">
        <v>100</v>
      </c>
      <c r="H47" s="1">
        <v>575</v>
      </c>
      <c r="I47" s="2" t="str">
        <f t="shared" si="0"/>
        <v>UDEN FOR OMRÅDET</v>
      </c>
      <c r="J47" s="14">
        <f>IF($B$5&lt;=14,"UDEN FOR OMRÅDET",IF($B$5&gt;=401,"UDEN FOR OMRÅDET",$B$5))</f>
        <v>20</v>
      </c>
    </row>
    <row r="48" spans="1:10" hidden="1" x14ac:dyDescent="0.2">
      <c r="A48" s="470" t="s">
        <v>171</v>
      </c>
      <c r="B48" s="452"/>
      <c r="C48" s="452"/>
      <c r="D48" s="7"/>
      <c r="E48" s="60"/>
      <c r="F48" s="61">
        <v>2.1</v>
      </c>
      <c r="G48" s="38">
        <v>160</v>
      </c>
      <c r="H48" s="1">
        <v>990</v>
      </c>
      <c r="I48" s="2" t="str">
        <f t="shared" si="0"/>
        <v>UDEN FOR OMRÅDET</v>
      </c>
      <c r="J48" s="14">
        <f>IF($B$5&lt;=13,"UDEN FOR OMRÅDET",IF($B$5&gt;=401,"UDEN FOR OMRÅDET",$B$5))</f>
        <v>20</v>
      </c>
    </row>
    <row r="49" spans="1:10" hidden="1" x14ac:dyDescent="0.2">
      <c r="A49" s="447" t="s">
        <v>172</v>
      </c>
      <c r="B49" s="452"/>
      <c r="C49" s="452"/>
      <c r="D49" s="7"/>
      <c r="E49" s="63"/>
      <c r="F49" s="64">
        <v>2.7</v>
      </c>
      <c r="G49" s="2">
        <v>220</v>
      </c>
      <c r="H49" s="2">
        <v>1330</v>
      </c>
      <c r="I49" s="2" t="str">
        <f t="shared" si="0"/>
        <v>UDEN FOR OMRÅDET</v>
      </c>
      <c r="J49" s="14">
        <f>IF($B$5&lt;=15,"UDEN FOR OMRÅDET",IF($B$5&gt;=401,"UDEN FOR OMRÅDET",$B$5))</f>
        <v>20</v>
      </c>
    </row>
    <row r="50" spans="1:10" hidden="1" x14ac:dyDescent="0.2">
      <c r="A50" s="475" t="s">
        <v>588</v>
      </c>
      <c r="B50" s="452"/>
      <c r="C50" s="452"/>
      <c r="D50" s="7"/>
      <c r="E50" s="63"/>
      <c r="F50" s="64">
        <v>2.9</v>
      </c>
      <c r="G50" s="2">
        <v>300</v>
      </c>
      <c r="H50" s="2">
        <v>1800</v>
      </c>
      <c r="I50" s="2" t="str">
        <f t="shared" si="0"/>
        <v>UDEN FOR OMRÅDET</v>
      </c>
      <c r="J50" s="14">
        <f t="shared" ref="J50:J51" si="2">IF($B$5&lt;=15,"UDEN FOR OMRÅDET",IF($B$5&gt;=401,"UDEN FOR OMRÅDET",$B$5))</f>
        <v>20</v>
      </c>
    </row>
    <row r="51" spans="1:10" hidden="1" x14ac:dyDescent="0.2">
      <c r="A51" s="447" t="s">
        <v>589</v>
      </c>
      <c r="B51" s="452"/>
      <c r="C51" s="452"/>
      <c r="D51" s="7"/>
      <c r="E51" s="63"/>
      <c r="F51" s="64">
        <v>2.9</v>
      </c>
      <c r="G51" s="2">
        <v>280</v>
      </c>
      <c r="H51" s="2">
        <v>1800</v>
      </c>
      <c r="I51" s="2" t="str">
        <f t="shared" si="0"/>
        <v>UDEN FOR OMRÅDET</v>
      </c>
      <c r="J51" s="14">
        <f t="shared" si="2"/>
        <v>20</v>
      </c>
    </row>
    <row r="52" spans="1:10" hidden="1" x14ac:dyDescent="0.2">
      <c r="A52" s="475" t="s">
        <v>590</v>
      </c>
      <c r="B52" s="452"/>
      <c r="C52" s="452"/>
      <c r="D52" s="3"/>
      <c r="E52" s="3"/>
      <c r="F52" s="454">
        <v>7.5</v>
      </c>
      <c r="G52" s="455">
        <v>600</v>
      </c>
      <c r="H52" s="1">
        <v>3609</v>
      </c>
      <c r="I52" s="2" t="str">
        <f t="shared" si="0"/>
        <v>UDEN FOR OMRÅDET</v>
      </c>
      <c r="J52" s="14">
        <f>IF($B$5&lt;=15,"UDEN FOR OMRÅDET",IF($B$5&gt;=401,"UDEN FOR OMRÅDET",$B$5))</f>
        <v>20</v>
      </c>
    </row>
    <row r="53" spans="1:10" hidden="1" x14ac:dyDescent="0.2">
      <c r="A53" s="447" t="s">
        <v>50</v>
      </c>
      <c r="B53" s="3"/>
      <c r="C53" s="3"/>
      <c r="D53" s="3"/>
      <c r="E53" s="3"/>
      <c r="F53" s="454">
        <v>7.6</v>
      </c>
      <c r="G53" s="455">
        <v>550</v>
      </c>
      <c r="H53" s="1">
        <v>4001</v>
      </c>
      <c r="I53" s="2" t="str">
        <f t="shared" si="0"/>
        <v>UDEN FOR OMRÅDET</v>
      </c>
      <c r="J53" s="14">
        <f>IF($B$5&lt;=15,"UDEN FOR OMRÅDET",IF($B$5&gt;=401,"UDEN FOR OMRÅDET",$B$5))</f>
        <v>20</v>
      </c>
    </row>
    <row r="54" spans="1:10" hidden="1" x14ac:dyDescent="0.2">
      <c r="A54" s="475" t="s">
        <v>51</v>
      </c>
      <c r="B54" s="452"/>
      <c r="C54" s="452"/>
      <c r="D54" s="3"/>
      <c r="E54" s="3"/>
      <c r="F54" s="454">
        <v>19</v>
      </c>
      <c r="G54" s="455">
        <v>1370</v>
      </c>
      <c r="H54" s="1">
        <v>9500</v>
      </c>
      <c r="I54" s="2">
        <f t="shared" ref="I54:I55" si="3">IF($B$6&lt;=G54-1,"UDEN FOR OMRÅDET",IF($B$6&gt;=H54+1,"UDEN FOR OMRÅDET",$B$6))</f>
        <v>5000</v>
      </c>
      <c r="J54" s="14">
        <f>IF($B$5&lt;=15,"UDEN FOR OMRÅDET",IF($B$5&gt;=401,"UDEN FOR OMRÅDET",$B$5))</f>
        <v>20</v>
      </c>
    </row>
    <row r="55" spans="1:10" ht="13.5" hidden="1" thickBot="1" x14ac:dyDescent="0.25">
      <c r="A55" s="448" t="s">
        <v>52</v>
      </c>
      <c r="B55" s="16"/>
      <c r="C55" s="16"/>
      <c r="D55" s="16"/>
      <c r="E55" s="16"/>
      <c r="F55" s="456">
        <v>19</v>
      </c>
      <c r="G55" s="457">
        <v>1400</v>
      </c>
      <c r="H55" s="458">
        <v>11500</v>
      </c>
      <c r="I55" s="17">
        <f t="shared" si="3"/>
        <v>5000</v>
      </c>
      <c r="J55" s="18">
        <f>IF($B$5&lt;=15,"UDEN FOR OMRÅDET",IF($B$5&gt;=401,"UDEN FOR OMRÅDET",$B$5))</f>
        <v>20</v>
      </c>
    </row>
    <row r="56" spans="1:10" ht="13.5" hidden="1" thickTop="1" x14ac:dyDescent="0.2"/>
    <row r="57" spans="1:10" hidden="1" x14ac:dyDescent="0.2"/>
  </sheetData>
  <sheetProtection sheet="1" objects="1" scenarios="1"/>
  <mergeCells count="5">
    <mergeCell ref="A2:J2"/>
    <mergeCell ref="D9:E9"/>
    <mergeCell ref="A9:A10"/>
    <mergeCell ref="B9:C9"/>
    <mergeCell ref="A1:J1"/>
  </mergeCells>
  <phoneticPr fontId="0" type="noConversion"/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80"/>
  <sheetViews>
    <sheetView showGridLines="0" zoomScaleNormal="100" workbookViewId="0">
      <selection activeCell="L12" sqref="L12"/>
    </sheetView>
  </sheetViews>
  <sheetFormatPr defaultColWidth="8.85546875" defaultRowHeight="12.75" x14ac:dyDescent="0.2"/>
  <cols>
    <col min="1" max="1" width="25.7109375" style="482" customWidth="1"/>
    <col min="2" max="2" width="14.28515625" style="482" customWidth="1"/>
    <col min="3" max="3" width="15.7109375" style="482" customWidth="1"/>
    <col min="4" max="4" width="16.42578125" style="482" customWidth="1"/>
    <col min="5" max="5" width="15.7109375" style="482" customWidth="1"/>
    <col min="6" max="7" width="10.7109375" style="482" customWidth="1"/>
    <col min="8" max="8" width="7.140625" style="482" customWidth="1"/>
    <col min="9" max="9" width="10.7109375" style="482" customWidth="1"/>
    <col min="10" max="10" width="20.42578125" style="482" bestFit="1" customWidth="1"/>
    <col min="11" max="13" width="8.85546875" style="482"/>
    <col min="14" max="15" width="20.28515625" style="482" bestFit="1" customWidth="1"/>
    <col min="16" max="16384" width="8.85546875" style="482"/>
  </cols>
  <sheetData>
    <row r="1" spans="1:11" ht="21" thickTop="1" x14ac:dyDescent="0.3">
      <c r="A1" s="880" t="s">
        <v>781</v>
      </c>
      <c r="B1" s="881"/>
      <c r="C1" s="881"/>
      <c r="D1" s="881"/>
      <c r="E1" s="881"/>
      <c r="F1" s="881"/>
      <c r="G1" s="881"/>
      <c r="H1" s="881"/>
      <c r="I1" s="881"/>
      <c r="J1" s="892"/>
      <c r="K1" s="481"/>
    </row>
    <row r="2" spans="1:11" ht="21" thickBot="1" x14ac:dyDescent="0.35">
      <c r="A2" s="889" t="s">
        <v>853</v>
      </c>
      <c r="B2" s="890"/>
      <c r="C2" s="890"/>
      <c r="D2" s="890"/>
      <c r="E2" s="890"/>
      <c r="F2" s="890"/>
      <c r="G2" s="890"/>
      <c r="H2" s="890"/>
      <c r="I2" s="890"/>
      <c r="J2" s="891"/>
      <c r="K2" s="481"/>
    </row>
    <row r="3" spans="1:11" ht="13.5" thickTop="1" x14ac:dyDescent="0.2">
      <c r="A3" s="483"/>
      <c r="B3" s="484"/>
      <c r="C3" s="484"/>
      <c r="D3" s="485"/>
      <c r="E3" s="485"/>
      <c r="F3" s="485"/>
      <c r="G3" s="485"/>
      <c r="H3" s="485"/>
      <c r="I3" s="485"/>
      <c r="J3" s="486"/>
    </row>
    <row r="4" spans="1:11" ht="13.5" thickBot="1" x14ac:dyDescent="0.25">
      <c r="A4" s="487"/>
      <c r="B4" s="19" t="s">
        <v>25</v>
      </c>
      <c r="D4" s="488"/>
      <c r="J4" s="489"/>
    </row>
    <row r="5" spans="1:11" ht="13.5" hidden="1" thickBot="1" x14ac:dyDescent="0.25">
      <c r="A5" s="490" t="s">
        <v>66</v>
      </c>
      <c r="B5" s="491">
        <v>20</v>
      </c>
      <c r="C5" s="492" t="s">
        <v>67</v>
      </c>
      <c r="J5" s="489"/>
    </row>
    <row r="6" spans="1:11" ht="13.5" thickBot="1" x14ac:dyDescent="0.25">
      <c r="A6" s="32" t="s">
        <v>56</v>
      </c>
      <c r="B6" s="493">
        <v>30</v>
      </c>
      <c r="C6" s="26" t="s">
        <v>551</v>
      </c>
      <c r="D6" s="488"/>
      <c r="G6" s="488"/>
      <c r="J6" s="489"/>
    </row>
    <row r="7" spans="1:11" x14ac:dyDescent="0.2">
      <c r="A7" s="487"/>
      <c r="G7" s="488"/>
      <c r="J7" s="489"/>
    </row>
    <row r="8" spans="1:11" ht="13.5" thickBot="1" x14ac:dyDescent="0.25">
      <c r="A8" s="487"/>
      <c r="J8" s="489"/>
    </row>
    <row r="9" spans="1:11" ht="13.5" thickTop="1" x14ac:dyDescent="0.2">
      <c r="A9" s="898" t="s">
        <v>704</v>
      </c>
      <c r="B9" s="888" t="s">
        <v>60</v>
      </c>
      <c r="C9" s="888"/>
      <c r="D9" s="888" t="s">
        <v>70</v>
      </c>
      <c r="E9" s="895"/>
      <c r="J9" s="489"/>
    </row>
    <row r="10" spans="1:11" x14ac:dyDescent="0.2">
      <c r="A10" s="899"/>
      <c r="B10" s="232" t="s">
        <v>552</v>
      </c>
      <c r="C10" s="232" t="s">
        <v>99</v>
      </c>
      <c r="D10" s="114" t="s">
        <v>62</v>
      </c>
      <c r="E10" s="36" t="s">
        <v>72</v>
      </c>
      <c r="J10" s="489"/>
    </row>
    <row r="11" spans="1:11" x14ac:dyDescent="0.2">
      <c r="A11" s="495" t="s">
        <v>707</v>
      </c>
      <c r="B11" s="232" t="s">
        <v>733</v>
      </c>
      <c r="C11" s="232" t="s">
        <v>636</v>
      </c>
      <c r="D11" s="559" t="str">
        <f>IF(I53="UDEN FOR OMRÅDET","NOT POSSIBLE",IF(J53="UDEN FOR OMRÅDET","NOT POSSIBLE",(-0.0000744443770088754*B6^4+0.00292171308841865*B6^3-0.0567173967219805*B6^2+0.756668136435242*B6-0.344917179650021)))</f>
        <v>NOT POSSIBLE</v>
      </c>
      <c r="E11" s="560" t="str">
        <f>IF(I53="UDEN FOR OMRÅDET","NOT POSSIBLE",IF($B$6&lt;1.4,10,((((-0.570728291317209*D11^4+5.37394957984688*D11^3-14.4754901961331*D11^2+16.3697478992248*D11+4.30252100841313))))))</f>
        <v>NOT POSSIBLE</v>
      </c>
      <c r="J11" s="489"/>
    </row>
    <row r="12" spans="1:11" x14ac:dyDescent="0.2">
      <c r="A12" s="613" t="s">
        <v>706</v>
      </c>
      <c r="B12" s="494" t="s">
        <v>734</v>
      </c>
      <c r="C12" s="494" t="s">
        <v>621</v>
      </c>
      <c r="D12" s="559" t="str">
        <f>IF(I54="UDEN FOR OMRÅDET","NOT POSSIBLE",IF(J54="UDEN FOR OMRÅDET","NOT POSSIBLE",(-0.0007*B6^3+0.0111*B6^2+0.2671*B6-0.1437)))</f>
        <v>NOT POSSIBLE</v>
      </c>
      <c r="E12" s="560" t="str">
        <f>IF(I54="UDEN FOR OMRÅDET","NOT POSSIBLE",IF($B$6&lt;3.9,6.5,((((0.25*D12^3-0.25*D12^2+0.5*D12+6))))))</f>
        <v>NOT POSSIBLE</v>
      </c>
      <c r="J12" s="489"/>
    </row>
    <row r="13" spans="1:11" x14ac:dyDescent="0.2">
      <c r="A13" s="495" t="s">
        <v>705</v>
      </c>
      <c r="B13" s="496" t="s">
        <v>735</v>
      </c>
      <c r="C13" s="496" t="s">
        <v>622</v>
      </c>
      <c r="D13" s="559" t="str">
        <f>IF(I55="UDEN FOR OMRÅDET","NOT POSSIBLE",IF(J55="UDEN FOR OMRÅDET","NOT POSSIBLE",(-0.000159*B6^3+0.004239*B6^2+0.159774*B6-0.099711)))</f>
        <v>NOT POSSIBLE</v>
      </c>
      <c r="E13" s="560" t="str">
        <f>IF(I55="UDEN FOR OMRÅDET","NOT POSSIBLE",IF($B$6&lt;6.2,19,((((0.6667*D13^3-0.5*D13^2-1.1667*D13+20))))))</f>
        <v>NOT POSSIBLE</v>
      </c>
      <c r="J13" s="489"/>
    </row>
    <row r="14" spans="1:11" x14ac:dyDescent="0.2">
      <c r="A14" s="613" t="s">
        <v>708</v>
      </c>
      <c r="B14" s="614" t="s">
        <v>736</v>
      </c>
      <c r="C14" s="614" t="s">
        <v>636</v>
      </c>
      <c r="D14" s="559" t="str">
        <f>IF(I56="UDEN FOR OMRÅDET","NOT POSSIBLE",IF(J56="UDEN FOR OMRÅDET","NOT POSSIBLE",(0.000162715270821789*B6^4-0.00644657529408476*B6^3+0.0820069584470269*B6^2-0.0966295248455586*B6+0.304399840266505)))</f>
        <v>NOT POSSIBLE</v>
      </c>
      <c r="E14" s="560" t="str">
        <f>IF(I56="UDEN FOR OMRÅDET","NOT POSSIBLE",IF($B$6&lt;5.73,10,((((0.381652661064663*D14^4-2.81652661064563*D14^3+7.35784313724913*D14^2-7.08263305321513*D14+12.1596638655624))))))</f>
        <v>NOT POSSIBLE</v>
      </c>
      <c r="J14" s="489"/>
    </row>
    <row r="15" spans="1:11" x14ac:dyDescent="0.2">
      <c r="A15" s="495" t="s">
        <v>709</v>
      </c>
      <c r="B15" s="496" t="s">
        <v>737</v>
      </c>
      <c r="C15" s="496" t="s">
        <v>622</v>
      </c>
      <c r="D15" s="559" t="str">
        <f>IF(I57="UDEN FOR OMRÅDET","NOT POSSIBLE",IF(J57="UDEN FOR OMRÅDET","NOT POSSIBLE",(0.0000321790932243382*B6^4-0.00197303164643433*B6^3+0.0390993234943823*B6^2-0.0988674213775071*B6+0.459262482859325)))</f>
        <v>NOT POSSIBLE</v>
      </c>
      <c r="E15" s="560" t="str">
        <f>IF(I57="UDEN FOR OMRÅDET","NOT POSSIBLE",IF($B$6&lt;8.53,19,((((0.491946778711736*D15^4-2.9194677871139*D15^3+6.71813725488853*D15^2-6.09733893556909*D15+20.8067226891174))))))</f>
        <v>NOT POSSIBLE</v>
      </c>
      <c r="J15" s="489"/>
    </row>
    <row r="16" spans="1:11" x14ac:dyDescent="0.2">
      <c r="A16" s="613" t="s">
        <v>712</v>
      </c>
      <c r="B16" s="494" t="s">
        <v>738</v>
      </c>
      <c r="C16" s="494" t="s">
        <v>623</v>
      </c>
      <c r="D16" s="559" t="str">
        <f>IF(I58="UDEN FOR OMRÅDET","NOT POSSIBLE",IF(J58="UDEN FOR OMRÅDET","NOT POSSIBLE",(-0.000124*B6^3+0.002487*B6^2+0.185365*B6-0.283831)))</f>
        <v>NOT POSSIBLE</v>
      </c>
      <c r="E16" s="560" t="str">
        <f>IF(I58="UDEN FOR OMRÅDET","NOT POSSIBLE",IF($B$6&lt;6.6,15,((((0.6667*D16^3-4.5*D16^2+11.833*D16+7))))))</f>
        <v>NOT POSSIBLE</v>
      </c>
      <c r="J16" s="489"/>
    </row>
    <row r="17" spans="1:10" x14ac:dyDescent="0.2">
      <c r="A17" s="495" t="s">
        <v>713</v>
      </c>
      <c r="B17" s="496" t="s">
        <v>739</v>
      </c>
      <c r="C17" s="496" t="s">
        <v>624</v>
      </c>
      <c r="D17" s="559">
        <f>IF(I59="UDEN FOR OMRÅDET","NOT POSSIBLE",IF(J59="UDEN FOR OMRÅDET","NOT POSSIBLE",(0.00000407*B6^4-0.00036799*B6^3+0.01016138*B6^2+0.03167768*B6+0.12121138)))</f>
        <v>3.5777537799999997</v>
      </c>
      <c r="E17" s="560">
        <f>IF(I59="UDEN FOR OMRÅDET","NOT POSSIBLE",IF($B$6&lt;9.1,30,((((2.6667*D17^3-15.5*D17^2+29.833*D17+13))))))</f>
        <v>43.455397863340693</v>
      </c>
      <c r="J17" s="489"/>
    </row>
    <row r="18" spans="1:10" x14ac:dyDescent="0.2">
      <c r="A18" s="613" t="s">
        <v>710</v>
      </c>
      <c r="B18" s="614" t="s">
        <v>738</v>
      </c>
      <c r="C18" s="614" t="s">
        <v>623</v>
      </c>
      <c r="D18" s="559" t="str">
        <f>IF(I60="UDEN FOR OMRÅDET","NOT POSSIBLE",IF(J60="UDEN FOR OMRÅDET","NOT POSSIBLE",(0.0000154158212750388*B6^4-0.00101946376531805*B6^3+0.0204701933257057*B6^2+0.0404255250317372*B6+0.10611774711099)))</f>
        <v>NOT POSSIBLE</v>
      </c>
      <c r="E18" s="560" t="str">
        <f>IF(I60="UDEN FOR OMRÅDET","NOT POSSIBLE",IF($B$6&lt;7.61,15,((((0.51995798319399*D18^4-4.53291316526902*D18^3+13.6985294117659*D18^2-14.164565826332*D18+19.4789915966622))))))</f>
        <v>NOT POSSIBLE</v>
      </c>
      <c r="J18" s="489"/>
    </row>
    <row r="19" spans="1:10" x14ac:dyDescent="0.2">
      <c r="A19" s="495" t="s">
        <v>711</v>
      </c>
      <c r="B19" s="496" t="s">
        <v>739</v>
      </c>
      <c r="C19" s="496" t="s">
        <v>624</v>
      </c>
      <c r="D19" s="559">
        <f>IF(I61="UDEN FOR OMRÅDET","NOT POSSIBLE",IF(J61="UDEN FOR OMRÅDET","NOT POSSIBLE",(4.02608466046339E-06*B6^4-0.00035802565478112*B6^3+0.00963888626697573*B6^2+0.0408604909263801*B6+0.0760791413266123)))</f>
        <v>3.5713274052812785</v>
      </c>
      <c r="E19" s="560">
        <f>IF(I61="UDEN FOR OMRÅDET","NOT POSSIBLE",IF($B$6&lt;17.4,27,(((( 0.330882352941899*D19^4-1.14215686274219*D19^3+1.08088235290768*D19^2-0.210784313687138*D19+26.9411764706273))))))</f>
        <v>41.775081535913763</v>
      </c>
      <c r="J19" s="489"/>
    </row>
    <row r="20" spans="1:10" x14ac:dyDescent="0.2">
      <c r="A20" s="613" t="s">
        <v>714</v>
      </c>
      <c r="B20" s="494" t="s">
        <v>740</v>
      </c>
      <c r="C20" s="494" t="s">
        <v>625</v>
      </c>
      <c r="D20" s="559">
        <f>IF(I62="UDEN FOR OMRÅDET","NOT POSSIBLE",IF(J62="UDEN FOR OMRÅDET","NOT POSSIBLE",(-0.000044*B6^3+0.000728*B6^2+0.150689*B6-0.254301)))</f>
        <v>3.7335690000000001</v>
      </c>
      <c r="E20" s="560">
        <f>IF(I62="UDEN FOR OMRÅDET","NOT POSSIBLE",IF($B$6&lt;8.3,16,((((0.5*D20^3-3*D20^2+7.5*D20+11))))))</f>
        <v>23.205267567370331</v>
      </c>
      <c r="J20" s="489"/>
    </row>
    <row r="21" spans="1:10" x14ac:dyDescent="0.2">
      <c r="A21" s="495" t="s">
        <v>715</v>
      </c>
      <c r="B21" s="496" t="s">
        <v>741</v>
      </c>
      <c r="C21" s="496" t="s">
        <v>626</v>
      </c>
      <c r="D21" s="559">
        <f>IF(I63="UDEN FOR OMRÅDET","NOT POSSIBLE",IF(J63="UDEN FOR OMRÅDET","NOT POSSIBLE",(0.00000156*B6^4-0.0001838*B6^3+0.00652234*B6^2+0.0239868*B6+0.17174038)))</f>
        <v>3.06245038</v>
      </c>
      <c r="E21" s="560">
        <f>IF(I63="UDEN FOR OMRÅDET","NOT POSSIBLE",IF($B$6&lt;11,23,((((1.8245614*D21^3-9.20300752*D21^2+16.72431078*D21+13.67293233))))))</f>
        <v>30.983104503347626</v>
      </c>
      <c r="J21" s="489"/>
    </row>
    <row r="22" spans="1:10" x14ac:dyDescent="0.2">
      <c r="A22" s="613" t="s">
        <v>716</v>
      </c>
      <c r="B22" s="614" t="s">
        <v>740</v>
      </c>
      <c r="C22" s="614" t="s">
        <v>625</v>
      </c>
      <c r="D22" s="559">
        <f>IF(I64="UDEN FOR OMRÅDET","NOT POSSIBLE",IF(J64="UDEN FOR OMRÅDET","NOT POSSIBLE",(5.52735737038498E-06*B6^4-0.000478613284121367*B6^3+0.0124468737679663*B6^2+0.0252938291981023*B6+0.181504498124926)))</f>
        <v>3.6971065639725893</v>
      </c>
      <c r="E22" s="560">
        <f>IF(I64="UDEN FOR OMRÅDET","NOT POSSIBLE",IF($B$6&lt;5.3,13,((((-0.334383753503289*D22^4+3.84383753503153*D22^3-14.7034313726191*D22^2+24.2191876751575*D22+2.97478991595572))))))</f>
        <v>23.312815863724776</v>
      </c>
      <c r="J22" s="489"/>
    </row>
    <row r="23" spans="1:10" x14ac:dyDescent="0.2">
      <c r="A23" s="495" t="s">
        <v>717</v>
      </c>
      <c r="B23" s="496" t="s">
        <v>741</v>
      </c>
      <c r="C23" s="496" t="s">
        <v>626</v>
      </c>
      <c r="D23" s="559">
        <f>IF(I65="UDEN FOR OMRÅDET","NOT POSSIBLE",IF(J65="UDEN FOR OMRÅDET","NOT POSSIBLE",(1.85657689749825E-06*B6^4-0.000211283125968968*B6^3+0.00739115989499179*B6^2+0.0133987970128351*B6+0.212256324155116)))</f>
        <v>3.0654470258442279</v>
      </c>
      <c r="E23" s="560">
        <f>IF(I65="UDEN FOR OMRÅDET","NOT POSSIBLE",IF($B$6&lt;9.08,20,((((0.518207282913409*D23^4-3.18207282912917*D23^3+5.63725490194232*D23^2-1.41036414563926*D23+19.43697478994))))))</f>
        <v>22.183433623903365</v>
      </c>
      <c r="J23" s="489"/>
    </row>
    <row r="24" spans="1:10" x14ac:dyDescent="0.2">
      <c r="A24" s="613" t="s">
        <v>718</v>
      </c>
      <c r="B24" s="494" t="s">
        <v>742</v>
      </c>
      <c r="C24" s="494" t="s">
        <v>627</v>
      </c>
      <c r="D24" s="559">
        <f>IF(I66="UDEN FOR OMRÅDET","NOT POSSIBLE",IF(J66="UDEN FOR OMRÅDET","NOT POSSIBLE",(0.0000006139*B6^4-0.000106561*B6^3+0.0058288674*B6^2-0.0444580014*B6+0.4579242305)))</f>
        <v>1.9902768485</v>
      </c>
      <c r="E24" s="560">
        <f>IF(I66="UDEN FOR OMRÅDET","NOT POSSIBLE",IF($B$6&lt;8.3,16,((((0.0000690761*B6^3-0.0045265849*B6^2+0.2633541895*B6+16.2995714859))))))</f>
        <v>21.991325460900001</v>
      </c>
      <c r="J24" s="489"/>
    </row>
    <row r="25" spans="1:10" x14ac:dyDescent="0.2">
      <c r="A25" s="495" t="s">
        <v>719</v>
      </c>
      <c r="B25" s="496" t="s">
        <v>743</v>
      </c>
      <c r="C25" s="496" t="s">
        <v>624</v>
      </c>
      <c r="D25" s="559">
        <f>IF(I67="UDEN FOR OMRÅDET","NOT POSSIBLE",IF(J67="UDEN FOR OMRÅDET","NOT POSSIBLE",(0.0000002014*B6^4-0.0000448209*B6^3+0.0030842417*B6^2-0.0208500823*B6+0.3651879533)))</f>
        <v>1.4684727142999996</v>
      </c>
      <c r="E25" s="560">
        <f>IF(I67="UDEN FOR OMRÅDET","NOT POSSIBLE",IF($B$6&lt;8.3,16,((((0.0000124414*B6^3+0.0047437114*B6^2+0.0004843365*B6+27.4237821061))))))</f>
        <v>32.043570261100001</v>
      </c>
      <c r="J25" s="489"/>
    </row>
    <row r="26" spans="1:10" x14ac:dyDescent="0.2">
      <c r="A26" s="613" t="s">
        <v>720</v>
      </c>
      <c r="B26" s="614" t="s">
        <v>742</v>
      </c>
      <c r="C26" s="614" t="s">
        <v>627</v>
      </c>
      <c r="D26" s="559">
        <f>IF(I68="UDEN FOR OMRÅDET","NOT POSSIBLE",IF(J68="UDEN FOR OMRÅDET","NOT POSSIBLE",(0.0000006070301058743*B6^4-0.000105050925091951*B6^3+0.00571998166320535*B6^2-0.0415516068976193*B6+0.43691092585702)))</f>
        <v>1.9936656240887618</v>
      </c>
      <c r="E26" s="560">
        <f>IF(I68="UDEN FOR OMRÅDET","NOT POSSIBLE",IF($B$6&lt;12.1,15,((((-0.686274509806481*D26^4+7.86274509806972*D26^3-29.5196078432436*D26^2+45.8137254903268*D26-3.47058823531234))))))</f>
        <v>21.999239671938902</v>
      </c>
      <c r="J26" s="489"/>
    </row>
    <row r="27" spans="1:10" x14ac:dyDescent="0.2">
      <c r="A27" s="495" t="s">
        <v>721</v>
      </c>
      <c r="B27" s="496" t="s">
        <v>743</v>
      </c>
      <c r="C27" s="496" t="s">
        <v>624</v>
      </c>
      <c r="D27" s="559">
        <f>IF(I69="UDEN FOR OMRÅDET","NOT POSSIBLE",IF(J69="UDEN FOR OMRÅDET","NOT POSSIBLE",(0.0000002001639999614*B6^4-0.0000446659090155319*B6^3+0.0030814204700492*B6^2-0.0209708963404282*B6+0.366473500264836)))</f>
        <v>1.4667783296456427</v>
      </c>
      <c r="E27" s="560">
        <f>IF(I69="UDEN FOR OMRÅDET","NOT POSSIBLE",IF($B$6&lt;44.5,22,((((0.453431372548948*D27^4-2.36764705882015*D27^3+4.37009803917477*D27^2-3.33823529406849*D27+22.882352941201))))))</f>
        <v>22</v>
      </c>
      <c r="J27" s="489"/>
    </row>
    <row r="28" spans="1:10" x14ac:dyDescent="0.2">
      <c r="A28" s="613" t="s">
        <v>722</v>
      </c>
      <c r="B28" s="494" t="s">
        <v>744</v>
      </c>
      <c r="C28" s="494" t="s">
        <v>625</v>
      </c>
      <c r="D28" s="559">
        <f>IF(I70="UDEN FOR OMRÅDET","NOT POSSIBLE",IF(J70="UDEN FOR OMRÅDET","NOT POSSIBLE",(-0.0000024*B6^3+0.00033459*B6^2+0.02873223*B6-0.03574711)))</f>
        <v>1.06255079</v>
      </c>
      <c r="E28" s="560">
        <f>IF(I70="UDEN FOR OMRÅDET","NOT POSSIBLE",IF($B$6&lt;28.5,16,((((0.00004639*B6^3-0.00631449*B6^2+0.36332191*B6+9.70047171))))))</f>
        <v>16.169618010000001</v>
      </c>
      <c r="J28" s="489"/>
    </row>
    <row r="29" spans="1:10" x14ac:dyDescent="0.2">
      <c r="A29" s="495" t="s">
        <v>723</v>
      </c>
      <c r="B29" s="496" t="s">
        <v>745</v>
      </c>
      <c r="C29" s="496" t="s">
        <v>628</v>
      </c>
      <c r="D29" s="559">
        <f>IF(I71="UDEN FOR OMRÅDET","NOT POSSIBLE",IF(J71="UDEN FOR OMRÅDET","NOT POSSIBLE",(0.0000000087*B6^4-0.0000042912*B6^3+0.000602127*B6^2+0.0030265472*B6+0.2709223762)))</f>
        <v>0.79481769220000009</v>
      </c>
      <c r="E29" s="560">
        <f>IF(I71="UDEN FOR OMRÅDET","NOT POSSIBLE",IF($B$6&lt;36.5,27,((((0.00003815*B6^3-0.00623625*B6^2+0.39933964*B6+18.87714266))))))</f>
        <v>27</v>
      </c>
      <c r="J29" s="489"/>
    </row>
    <row r="30" spans="1:10" x14ac:dyDescent="0.2">
      <c r="A30" s="613" t="s">
        <v>724</v>
      </c>
      <c r="B30" s="494" t="s">
        <v>746</v>
      </c>
      <c r="C30" s="494" t="s">
        <v>629</v>
      </c>
      <c r="D30" s="559">
        <f>IF(I72="UDEN FOR OMRÅDET","NOT POSSIBLE",IF(J72="UDEN FOR OMRÅDET","NOT POSSIBLE",(0.0000000079*B6^4-0.0000031427*B6^3+0.0003781874*B6^2+0.0139576939*B6+0.0433215217)))</f>
        <v>0.72396709869999998</v>
      </c>
      <c r="E30" s="560">
        <f>IF(I72="UDEN FOR OMRÅDET","NOT POSSIBLE",IF($B$6&lt;70.4,21,((((-1.6666666667*D30^3+13.5*D30^2-27.8333333333*D30+37))))))</f>
        <v>21</v>
      </c>
      <c r="J30" s="489"/>
    </row>
    <row r="31" spans="1:10" x14ac:dyDescent="0.2">
      <c r="A31" s="495" t="s">
        <v>725</v>
      </c>
      <c r="B31" s="496" t="s">
        <v>747</v>
      </c>
      <c r="C31" s="496" t="s">
        <v>630</v>
      </c>
      <c r="D31" s="559" t="str">
        <f>IF(I73="UDEN FOR OMRÅDET","NOT POSSIBLE",IF(J73="UDEN FOR OMRÅDET","NOT POSSIBLE",(0.000000004262661*B6^4-0.000002203935325*B6^3+0.000349196460344*B6^2+0.003639383225018*B6+0.193846671691572)))</f>
        <v>NOT POSSIBLE</v>
      </c>
      <c r="E31" s="560" t="str">
        <f>IF(I73="UDEN FOR OMRÅDET","NOT POSSIBLE",IF($B$6&lt;89,33,((((-0.6666666667*D31^3+9.5*D31^2-22.8333333333*D31+47))))))</f>
        <v>NOT POSSIBLE</v>
      </c>
      <c r="J31" s="489"/>
    </row>
    <row r="32" spans="1:10" x14ac:dyDescent="0.2">
      <c r="A32" s="613" t="s">
        <v>726</v>
      </c>
      <c r="B32" s="494" t="s">
        <v>748</v>
      </c>
      <c r="C32" s="494" t="s">
        <v>632</v>
      </c>
      <c r="D32" s="559" t="str">
        <f>IF(I74="UDEN FOR OMRÅDET","NOT POSSIBLE",IF(J74="UDEN FOR OMRÅDET","NOT POSSIBLE",(-0.000000006659004*B6^4+0.000004735461176*B6^3-0.001276874830972*B6^2+0.177325762767072*B6-7.83507332221808)))</f>
        <v>NOT POSSIBLE</v>
      </c>
      <c r="E32" s="560" t="str">
        <f>IF(I74="UDEN FOR OMRÅDET","NOT POSSIBLE",IF($B$6&lt;70.4,21,((((-0.5*D32^3+4.49999999999909*D32^2-4.99999999999727*D32+11.999999999996))))))</f>
        <v>NOT POSSIBLE</v>
      </c>
      <c r="J32" s="489"/>
    </row>
    <row r="33" spans="1:10" x14ac:dyDescent="0.2">
      <c r="A33" s="495" t="s">
        <v>727</v>
      </c>
      <c r="B33" s="496" t="s">
        <v>749</v>
      </c>
      <c r="C33" s="496" t="s">
        <v>631</v>
      </c>
      <c r="D33" s="559" t="str">
        <f>IF(I75="UDEN FOR OMRÅDET","NOT POSSIBLE",IF(J75="UDEN FOR OMRÅDET","NOT POSSIBLE",(-0.000000000611426*B6^4+0.000000656353947*B6^3-0.000284996728231*B6^2+0.074287325446848*B6-5.10628086784494)))</f>
        <v>NOT POSSIBLE</v>
      </c>
      <c r="E33" s="560" t="str">
        <f>IF(I75="UDEN FOR OMRÅDET","NOT POSSIBLE",IF($B$6&lt;89,33,((((-2.16666666666652*D33^3+17.9999999999977*D33^2-28.8333333333271*D33+43.9999999999905))))))</f>
        <v>NOT POSSIBLE</v>
      </c>
      <c r="J33" s="489"/>
    </row>
    <row r="34" spans="1:10" x14ac:dyDescent="0.2">
      <c r="A34" s="613" t="s">
        <v>728</v>
      </c>
      <c r="B34" s="494" t="s">
        <v>750</v>
      </c>
      <c r="C34" s="494" t="s">
        <v>636</v>
      </c>
      <c r="D34" s="559" t="str">
        <f>IF(I76="UDEN FOR OMRÅDET","NOT POSSIBLE",IF(J76="UDEN FOR OMRÅDET","NOT POSSIBLE",(-2.52847125E-12*B6^5+4.68657669347E-09*B6^4-3.38486827279208E-06*B6^3+0.00116642754838534*B6^2-0.177120541975483*B6+10.2818610440989)))</f>
        <v>NOT POSSIBLE</v>
      </c>
      <c r="E34" s="560" t="str">
        <f>IF(I76="UDEN FOR OMRÅDET","NOT POSSIBLE",IF($B$6&lt;70.4,21,((((-0.833333*D34^3+7.5*D34^2-11.666667*D34+15))))))</f>
        <v>NOT POSSIBLE</v>
      </c>
      <c r="J34" s="489"/>
    </row>
    <row r="35" spans="1:10" x14ac:dyDescent="0.2">
      <c r="A35" s="495" t="s">
        <v>729</v>
      </c>
      <c r="B35" s="496" t="s">
        <v>751</v>
      </c>
      <c r="C35" s="496" t="s">
        <v>623</v>
      </c>
      <c r="D35" s="559" t="str">
        <f>IF(I77="UDEN FOR OMRÅDET","NOT POSSIBLE",IF(J77="UDEN FOR OMRÅDET","NOT POSSIBLE",(8.5275752E-13*B6^5-1.96247855196E-09*B6^4+1.79855952093491E-06*B6^3-0.000825168971576492*B6^2+0.197731076146651*B6-18.0380359494749
)))</f>
        <v>NOT POSSIBLE</v>
      </c>
      <c r="E35" s="560" t="str">
        <f>IF(I77="UDEN FOR OMRÅDET","NOT POSSIBLE",IF($B$6&lt;89,33,((((-0.833333*D35^3+10*D35^2-14.166667*D35+20))))))</f>
        <v>NOT POSSIBLE</v>
      </c>
      <c r="J35" s="489"/>
    </row>
    <row r="36" spans="1:10" x14ac:dyDescent="0.2">
      <c r="A36" s="613" t="s">
        <v>730</v>
      </c>
      <c r="B36" s="494" t="s">
        <v>750</v>
      </c>
      <c r="C36" s="494" t="s">
        <v>636</v>
      </c>
      <c r="D36" s="559" t="str">
        <f>IF(I78="UDEN FOR OMRÅDET","NOT POSSIBLE",IF(J78="UDEN FOR OMRÅDET","NOT POSSIBLE",(-2.52847125E-12*B6^5+4.68657669347E-09*B6^4-3.38486827279208E-06*B6^3+0.00116642754838534*B6^2-0.177120541975483*B6+10.2818610440989)))</f>
        <v>NOT POSSIBLE</v>
      </c>
      <c r="E36" s="560" t="str">
        <f>IF(I78="UDEN FOR OMRÅDET","NOT POSSIBLE",IF($B$6&lt;70.4,21,((((-0.833333*D36^3+7.5*D36^2-11.666667*D36+15))))))</f>
        <v>NOT POSSIBLE</v>
      </c>
      <c r="J36" s="489"/>
    </row>
    <row r="37" spans="1:10" ht="13.5" thickBot="1" x14ac:dyDescent="0.25">
      <c r="A37" s="497" t="s">
        <v>731</v>
      </c>
      <c r="B37" s="498" t="s">
        <v>751</v>
      </c>
      <c r="C37" s="498" t="s">
        <v>623</v>
      </c>
      <c r="D37" s="561" t="str">
        <f>IF(I79="UDEN FOR OMRÅDET","NOT POSSIBLE",IF(J79="UDEN FOR OMRÅDET","NOT POSSIBLE",(8.5275752E-13*B6^5-1.96247855196E-09*B6^4+1.79855952093491E-06*B6^3-0.000825168971576492*B6^2+0.197731076146651*B6-18.0380359494749
)))</f>
        <v>NOT POSSIBLE</v>
      </c>
      <c r="E37" s="562" t="str">
        <f>IF(I79="UDEN FOR OMRÅDET","NOT POSSIBLE",IF($B$6&lt;89,33,((((-0.833333*D37^3+10*D37^2-14.166667*D37+20))))))</f>
        <v>NOT POSSIBLE</v>
      </c>
      <c r="J37" s="489"/>
    </row>
    <row r="38" spans="1:10" ht="13.5" thickTop="1" x14ac:dyDescent="0.2">
      <c r="A38" s="487"/>
      <c r="J38" s="489"/>
    </row>
    <row r="39" spans="1:10" x14ac:dyDescent="0.2">
      <c r="A39" s="487"/>
      <c r="J39" s="489"/>
    </row>
    <row r="40" spans="1:10" x14ac:dyDescent="0.2">
      <c r="A40" s="487"/>
      <c r="J40" s="489"/>
    </row>
    <row r="41" spans="1:10" x14ac:dyDescent="0.2">
      <c r="A41" s="487"/>
      <c r="J41" s="489"/>
    </row>
    <row r="42" spans="1:10" x14ac:dyDescent="0.2">
      <c r="A42" s="487"/>
      <c r="J42" s="489"/>
    </row>
    <row r="43" spans="1:10" x14ac:dyDescent="0.2">
      <c r="A43" s="487"/>
      <c r="J43" s="489"/>
    </row>
    <row r="44" spans="1:10" x14ac:dyDescent="0.2">
      <c r="A44" s="487"/>
      <c r="J44" s="489"/>
    </row>
    <row r="45" spans="1:10" x14ac:dyDescent="0.2">
      <c r="A45" s="487"/>
      <c r="J45" s="489"/>
    </row>
    <row r="46" spans="1:10" x14ac:dyDescent="0.2">
      <c r="A46" s="487"/>
      <c r="E46" s="499"/>
      <c r="J46" s="489"/>
    </row>
    <row r="47" spans="1:10" ht="13.5" thickBot="1" x14ac:dyDescent="0.25">
      <c r="A47" s="29" t="s">
        <v>173</v>
      </c>
      <c r="B47" s="500"/>
      <c r="C47" s="500"/>
      <c r="D47" s="500"/>
      <c r="E47" s="500"/>
      <c r="F47" s="500"/>
      <c r="G47" s="500"/>
      <c r="H47" s="500"/>
      <c r="I47" s="500"/>
      <c r="J47" s="501"/>
    </row>
    <row r="48" spans="1:10" ht="10.5" customHeight="1" thickTop="1" x14ac:dyDescent="0.2"/>
    <row r="49" spans="1:13" hidden="1" x14ac:dyDescent="0.2">
      <c r="L49" s="502"/>
      <c r="M49" s="502"/>
    </row>
    <row r="50" spans="1:13" s="504" customFormat="1" ht="31.5" hidden="1" customHeight="1" x14ac:dyDescent="0.4">
      <c r="A50" s="896" t="s">
        <v>11</v>
      </c>
      <c r="B50" s="896"/>
      <c r="C50" s="896"/>
      <c r="D50" s="897"/>
      <c r="E50" s="897"/>
      <c r="F50" s="897"/>
      <c r="G50" s="897"/>
      <c r="H50" s="897"/>
      <c r="I50" s="897"/>
      <c r="J50" s="897"/>
      <c r="K50" s="503"/>
    </row>
    <row r="51" spans="1:13" ht="13.5" hidden="1" thickBot="1" x14ac:dyDescent="0.25"/>
    <row r="52" spans="1:13" ht="13.5" hidden="1" thickTop="1" x14ac:dyDescent="0.2">
      <c r="A52" s="505" t="s">
        <v>0</v>
      </c>
      <c r="B52" s="506"/>
      <c r="C52" s="506"/>
      <c r="D52" s="507" t="s">
        <v>1</v>
      </c>
      <c r="E52" s="507" t="s">
        <v>3</v>
      </c>
      <c r="F52" s="507" t="s">
        <v>8</v>
      </c>
      <c r="G52" s="507" t="s">
        <v>4</v>
      </c>
      <c r="H52" s="507" t="s">
        <v>5</v>
      </c>
      <c r="I52" s="508" t="s">
        <v>6</v>
      </c>
      <c r="J52" s="509"/>
    </row>
    <row r="53" spans="1:13" ht="13.5" hidden="1" thickBot="1" x14ac:dyDescent="0.25">
      <c r="A53" s="612" t="s">
        <v>707</v>
      </c>
      <c r="B53" s="593"/>
      <c r="C53" s="593"/>
      <c r="D53" s="594"/>
      <c r="E53" s="594"/>
      <c r="F53" s="594">
        <v>19.2</v>
      </c>
      <c r="G53" s="594">
        <v>1.4</v>
      </c>
      <c r="H53" s="594">
        <v>11.5</v>
      </c>
      <c r="I53" s="516" t="str">
        <f t="shared" ref="I53:I79" si="0">IF($B$6&lt;=G53-0.001,"UDEN FOR OMRÅDET",IF($B$6&gt;=H53+0.1,"UDEN FOR OMRÅDET",$B$6))</f>
        <v>UDEN FOR OMRÅDET</v>
      </c>
      <c r="J53" s="595"/>
    </row>
    <row r="54" spans="1:13" hidden="1" x14ac:dyDescent="0.2">
      <c r="A54" s="510" t="s">
        <v>706</v>
      </c>
      <c r="B54" s="511"/>
      <c r="C54" s="511"/>
      <c r="D54" s="512"/>
      <c r="E54" s="512"/>
      <c r="F54" s="513">
        <v>33.5</v>
      </c>
      <c r="G54" s="514">
        <v>2.5</v>
      </c>
      <c r="H54" s="515">
        <v>15</v>
      </c>
      <c r="I54" s="516" t="str">
        <f t="shared" si="0"/>
        <v>UDEN FOR OMRÅDET</v>
      </c>
      <c r="J54" s="517"/>
    </row>
    <row r="55" spans="1:13" ht="13.5" hidden="1" thickBot="1" x14ac:dyDescent="0.25">
      <c r="A55" s="518" t="s">
        <v>705</v>
      </c>
      <c r="B55" s="511"/>
      <c r="C55" s="511"/>
      <c r="D55" s="512"/>
      <c r="E55" s="512"/>
      <c r="F55" s="513">
        <v>33.5</v>
      </c>
      <c r="G55" s="514">
        <v>3.9</v>
      </c>
      <c r="H55" s="515">
        <v>24</v>
      </c>
      <c r="I55" s="516" t="str">
        <f t="shared" si="0"/>
        <v>UDEN FOR OMRÅDET</v>
      </c>
      <c r="J55" s="517"/>
    </row>
    <row r="56" spans="1:13" hidden="1" x14ac:dyDescent="0.2">
      <c r="A56" s="510" t="s">
        <v>708</v>
      </c>
      <c r="B56" s="511"/>
      <c r="C56" s="511"/>
      <c r="D56" s="512"/>
      <c r="E56" s="512"/>
      <c r="F56" s="513">
        <v>33.5</v>
      </c>
      <c r="G56" s="514">
        <v>3</v>
      </c>
      <c r="H56" s="515">
        <v>16</v>
      </c>
      <c r="I56" s="516" t="str">
        <f t="shared" si="0"/>
        <v>UDEN FOR OMRÅDET</v>
      </c>
      <c r="J56" s="517"/>
    </row>
    <row r="57" spans="1:13" hidden="1" x14ac:dyDescent="0.2">
      <c r="A57" s="518" t="s">
        <v>709</v>
      </c>
      <c r="B57" s="511"/>
      <c r="C57" s="511"/>
      <c r="D57" s="512"/>
      <c r="E57" s="512"/>
      <c r="F57" s="513">
        <v>33.5</v>
      </c>
      <c r="G57" s="514">
        <v>4.2</v>
      </c>
      <c r="H57" s="515">
        <v>24</v>
      </c>
      <c r="I57" s="516" t="str">
        <f t="shared" si="0"/>
        <v>UDEN FOR OMRÅDET</v>
      </c>
      <c r="J57" s="517"/>
    </row>
    <row r="58" spans="1:13" hidden="1" x14ac:dyDescent="0.2">
      <c r="A58" s="519" t="s">
        <v>712</v>
      </c>
      <c r="B58" s="511"/>
      <c r="C58" s="511"/>
      <c r="D58" s="512"/>
      <c r="E58" s="512"/>
      <c r="F58" s="513">
        <v>50</v>
      </c>
      <c r="G58" s="514">
        <v>4.4000000000000004</v>
      </c>
      <c r="H58" s="515">
        <v>25</v>
      </c>
      <c r="I58" s="516" t="str">
        <f t="shared" si="0"/>
        <v>UDEN FOR OMRÅDET</v>
      </c>
      <c r="J58" s="517"/>
    </row>
    <row r="59" spans="1:13" ht="13.5" hidden="1" thickBot="1" x14ac:dyDescent="0.25">
      <c r="A59" s="518" t="s">
        <v>713</v>
      </c>
      <c r="B59" s="511"/>
      <c r="C59" s="511"/>
      <c r="D59" s="512"/>
      <c r="E59" s="512"/>
      <c r="F59" s="513">
        <v>50</v>
      </c>
      <c r="G59" s="514">
        <v>6</v>
      </c>
      <c r="H59" s="515">
        <v>35</v>
      </c>
      <c r="I59" s="516">
        <f t="shared" si="0"/>
        <v>30</v>
      </c>
      <c r="J59" s="517"/>
    </row>
    <row r="60" spans="1:13" hidden="1" x14ac:dyDescent="0.2">
      <c r="A60" s="510" t="s">
        <v>710</v>
      </c>
      <c r="B60" s="511"/>
      <c r="C60" s="511"/>
      <c r="D60" s="512"/>
      <c r="E60" s="512"/>
      <c r="F60" s="513">
        <v>50</v>
      </c>
      <c r="G60" s="514">
        <v>4.4000000000000004</v>
      </c>
      <c r="H60" s="515">
        <v>25</v>
      </c>
      <c r="I60" s="516" t="str">
        <f t="shared" si="0"/>
        <v>UDEN FOR OMRÅDET</v>
      </c>
      <c r="J60" s="517"/>
    </row>
    <row r="61" spans="1:13" hidden="1" x14ac:dyDescent="0.2">
      <c r="A61" s="518" t="s">
        <v>711</v>
      </c>
      <c r="B61" s="511"/>
      <c r="C61" s="511"/>
      <c r="D61" s="512"/>
      <c r="E61" s="512"/>
      <c r="F61" s="513">
        <v>50</v>
      </c>
      <c r="G61" s="514">
        <v>6</v>
      </c>
      <c r="H61" s="515">
        <v>35</v>
      </c>
      <c r="I61" s="516">
        <f t="shared" si="0"/>
        <v>30</v>
      </c>
      <c r="J61" s="517"/>
    </row>
    <row r="62" spans="1:13" hidden="1" x14ac:dyDescent="0.2">
      <c r="A62" s="519" t="s">
        <v>714</v>
      </c>
      <c r="B62" s="511"/>
      <c r="C62" s="511"/>
      <c r="D62" s="512"/>
      <c r="E62" s="512"/>
      <c r="F62" s="513">
        <v>68</v>
      </c>
      <c r="G62" s="514">
        <v>5.3</v>
      </c>
      <c r="H62" s="515">
        <v>34</v>
      </c>
      <c r="I62" s="516">
        <f t="shared" si="0"/>
        <v>30</v>
      </c>
      <c r="J62" s="517"/>
    </row>
    <row r="63" spans="1:13" ht="13.5" hidden="1" thickBot="1" x14ac:dyDescent="0.25">
      <c r="A63" s="518" t="s">
        <v>715</v>
      </c>
      <c r="B63" s="511"/>
      <c r="C63" s="511"/>
      <c r="D63" s="512"/>
      <c r="E63" s="512"/>
      <c r="F63" s="513">
        <v>68</v>
      </c>
      <c r="G63" s="514">
        <v>7</v>
      </c>
      <c r="H63" s="515">
        <v>43</v>
      </c>
      <c r="I63" s="516">
        <f t="shared" si="0"/>
        <v>30</v>
      </c>
      <c r="J63" s="517"/>
    </row>
    <row r="64" spans="1:13" hidden="1" x14ac:dyDescent="0.2">
      <c r="A64" s="510" t="s">
        <v>716</v>
      </c>
      <c r="B64" s="511"/>
      <c r="C64" s="511"/>
      <c r="D64" s="512"/>
      <c r="E64" s="512"/>
      <c r="F64" s="513">
        <v>68</v>
      </c>
      <c r="G64" s="514">
        <v>5.3</v>
      </c>
      <c r="H64" s="515">
        <v>34</v>
      </c>
      <c r="I64" s="516">
        <f t="shared" si="0"/>
        <v>30</v>
      </c>
      <c r="J64" s="517"/>
    </row>
    <row r="65" spans="1:10" hidden="1" x14ac:dyDescent="0.2">
      <c r="A65" s="518" t="s">
        <v>717</v>
      </c>
      <c r="B65" s="511"/>
      <c r="C65" s="511"/>
      <c r="D65" s="512"/>
      <c r="E65" s="512"/>
      <c r="F65" s="513">
        <v>68</v>
      </c>
      <c r="G65" s="514">
        <v>7</v>
      </c>
      <c r="H65" s="515">
        <v>43</v>
      </c>
      <c r="I65" s="516">
        <f t="shared" si="0"/>
        <v>30</v>
      </c>
      <c r="J65" s="517"/>
    </row>
    <row r="66" spans="1:10" hidden="1" x14ac:dyDescent="0.2">
      <c r="A66" s="519" t="s">
        <v>718</v>
      </c>
      <c r="B66" s="511"/>
      <c r="C66" s="511"/>
      <c r="D66" s="512"/>
      <c r="E66" s="512"/>
      <c r="F66" s="513">
        <v>115</v>
      </c>
      <c r="G66" s="514">
        <v>12.1</v>
      </c>
      <c r="H66" s="515">
        <v>68</v>
      </c>
      <c r="I66" s="516">
        <f t="shared" si="0"/>
        <v>30</v>
      </c>
      <c r="J66" s="517"/>
    </row>
    <row r="67" spans="1:10" ht="13.5" hidden="1" thickBot="1" x14ac:dyDescent="0.25">
      <c r="A67" s="518" t="s">
        <v>719</v>
      </c>
      <c r="B67" s="511"/>
      <c r="C67" s="511"/>
      <c r="D67" s="512"/>
      <c r="E67" s="512"/>
      <c r="F67" s="513">
        <v>115</v>
      </c>
      <c r="G67" s="514">
        <v>14.8</v>
      </c>
      <c r="H67" s="515">
        <v>90</v>
      </c>
      <c r="I67" s="516">
        <f t="shared" si="0"/>
        <v>30</v>
      </c>
      <c r="J67" s="517"/>
    </row>
    <row r="68" spans="1:10" hidden="1" x14ac:dyDescent="0.2">
      <c r="A68" s="510" t="s">
        <v>720</v>
      </c>
      <c r="B68" s="511"/>
      <c r="C68" s="511"/>
      <c r="D68" s="512"/>
      <c r="E68" s="512"/>
      <c r="F68" s="513">
        <v>115</v>
      </c>
      <c r="G68" s="514">
        <v>12.1</v>
      </c>
      <c r="H68" s="515">
        <v>68</v>
      </c>
      <c r="I68" s="516">
        <f t="shared" si="0"/>
        <v>30</v>
      </c>
      <c r="J68" s="517"/>
    </row>
    <row r="69" spans="1:10" hidden="1" x14ac:dyDescent="0.2">
      <c r="A69" s="518" t="s">
        <v>721</v>
      </c>
      <c r="B69" s="511"/>
      <c r="C69" s="511"/>
      <c r="D69" s="512"/>
      <c r="E69" s="512"/>
      <c r="F69" s="513">
        <v>115</v>
      </c>
      <c r="G69" s="514">
        <v>14.8</v>
      </c>
      <c r="H69" s="515">
        <v>90</v>
      </c>
      <c r="I69" s="516">
        <f t="shared" si="0"/>
        <v>30</v>
      </c>
      <c r="J69" s="517"/>
    </row>
    <row r="70" spans="1:10" hidden="1" x14ac:dyDescent="0.2">
      <c r="A70" s="519" t="s">
        <v>722</v>
      </c>
      <c r="B70" s="511"/>
      <c r="C70" s="511"/>
      <c r="D70" s="512"/>
      <c r="E70" s="512"/>
      <c r="F70" s="513">
        <v>167</v>
      </c>
      <c r="G70" s="443">
        <v>18.5</v>
      </c>
      <c r="H70" s="515">
        <v>110</v>
      </c>
      <c r="I70" s="516">
        <f t="shared" si="0"/>
        <v>30</v>
      </c>
      <c r="J70" s="517"/>
    </row>
    <row r="71" spans="1:10" hidden="1" x14ac:dyDescent="0.2">
      <c r="A71" s="518" t="s">
        <v>723</v>
      </c>
      <c r="B71" s="511"/>
      <c r="C71" s="511"/>
      <c r="D71" s="512"/>
      <c r="E71" s="512"/>
      <c r="F71" s="513">
        <v>167</v>
      </c>
      <c r="G71" s="443">
        <v>23</v>
      </c>
      <c r="H71" s="515">
        <v>135</v>
      </c>
      <c r="I71" s="516">
        <f t="shared" si="0"/>
        <v>30</v>
      </c>
      <c r="J71" s="517"/>
    </row>
    <row r="72" spans="1:10" hidden="1" x14ac:dyDescent="0.2">
      <c r="A72" s="519" t="s">
        <v>724</v>
      </c>
      <c r="B72" s="511"/>
      <c r="C72" s="511"/>
      <c r="D72" s="512"/>
      <c r="E72" s="512"/>
      <c r="F72" s="513">
        <v>250</v>
      </c>
      <c r="G72" s="443">
        <v>25.6</v>
      </c>
      <c r="H72" s="515">
        <v>148</v>
      </c>
      <c r="I72" s="516">
        <f t="shared" si="0"/>
        <v>30</v>
      </c>
      <c r="J72" s="517"/>
    </row>
    <row r="73" spans="1:10" hidden="1" x14ac:dyDescent="0.2">
      <c r="A73" s="518" t="s">
        <v>725</v>
      </c>
      <c r="B73" s="511"/>
      <c r="C73" s="511"/>
      <c r="D73" s="512"/>
      <c r="E73" s="512"/>
      <c r="F73" s="513">
        <v>241.9</v>
      </c>
      <c r="G73" s="443">
        <v>32</v>
      </c>
      <c r="H73" s="515">
        <v>195</v>
      </c>
      <c r="I73" s="516" t="str">
        <f t="shared" si="0"/>
        <v>UDEN FOR OMRÅDET</v>
      </c>
      <c r="J73" s="517"/>
    </row>
    <row r="74" spans="1:10" hidden="1" x14ac:dyDescent="0.2">
      <c r="A74" s="519" t="s">
        <v>726</v>
      </c>
      <c r="B74" s="511"/>
      <c r="C74" s="511"/>
      <c r="D74" s="512"/>
      <c r="E74" s="512"/>
      <c r="F74" s="513">
        <v>371</v>
      </c>
      <c r="G74" s="443">
        <v>95</v>
      </c>
      <c r="H74" s="515">
        <v>210</v>
      </c>
      <c r="I74" s="516" t="str">
        <f t="shared" si="0"/>
        <v>UDEN FOR OMRÅDET</v>
      </c>
      <c r="J74" s="517"/>
    </row>
    <row r="75" spans="1:10" hidden="1" x14ac:dyDescent="0.2">
      <c r="A75" s="518" t="s">
        <v>727</v>
      </c>
      <c r="B75" s="511"/>
      <c r="C75" s="511"/>
      <c r="D75" s="512"/>
      <c r="E75" s="512"/>
      <c r="F75" s="513">
        <v>317</v>
      </c>
      <c r="G75" s="443">
        <v>130</v>
      </c>
      <c r="H75" s="515">
        <v>280</v>
      </c>
      <c r="I75" s="516" t="str">
        <f t="shared" si="0"/>
        <v>UDEN FOR OMRÅDET</v>
      </c>
      <c r="J75" s="517"/>
    </row>
    <row r="76" spans="1:10" hidden="1" x14ac:dyDescent="0.2">
      <c r="A76" s="519" t="s">
        <v>728</v>
      </c>
      <c r="B76" s="511"/>
      <c r="C76" s="511"/>
      <c r="D76" s="512"/>
      <c r="E76" s="512"/>
      <c r="F76" s="513">
        <v>840</v>
      </c>
      <c r="G76" s="443">
        <v>190</v>
      </c>
      <c r="H76" s="515">
        <v>475</v>
      </c>
      <c r="I76" s="516" t="str">
        <f t="shared" si="0"/>
        <v>UDEN FOR OMRÅDET</v>
      </c>
      <c r="J76" s="517"/>
    </row>
    <row r="77" spans="1:10" hidden="1" x14ac:dyDescent="0.2">
      <c r="A77" s="518" t="s">
        <v>729</v>
      </c>
      <c r="B77" s="511"/>
      <c r="C77" s="511"/>
      <c r="D77" s="512"/>
      <c r="E77" s="512"/>
      <c r="F77" s="513">
        <v>717</v>
      </c>
      <c r="G77" s="443">
        <v>245</v>
      </c>
      <c r="H77" s="515">
        <v>600</v>
      </c>
      <c r="I77" s="516" t="str">
        <f t="shared" si="0"/>
        <v>UDEN FOR OMRÅDET</v>
      </c>
      <c r="J77" s="517"/>
    </row>
    <row r="78" spans="1:10" hidden="1" x14ac:dyDescent="0.2">
      <c r="A78" s="519" t="s">
        <v>730</v>
      </c>
      <c r="B78" s="511"/>
      <c r="C78" s="511"/>
      <c r="D78" s="512"/>
      <c r="E78" s="512"/>
      <c r="F78" s="513">
        <v>840</v>
      </c>
      <c r="G78" s="443">
        <v>190</v>
      </c>
      <c r="H78" s="515">
        <v>475</v>
      </c>
      <c r="I78" s="516" t="str">
        <f t="shared" si="0"/>
        <v>UDEN FOR OMRÅDET</v>
      </c>
      <c r="J78" s="517"/>
    </row>
    <row r="79" spans="1:10" hidden="1" x14ac:dyDescent="0.2">
      <c r="A79" s="518" t="s">
        <v>731</v>
      </c>
      <c r="B79" s="511"/>
      <c r="C79" s="511"/>
      <c r="D79" s="512"/>
      <c r="E79" s="512"/>
      <c r="F79" s="513">
        <v>717</v>
      </c>
      <c r="G79" s="443">
        <v>245</v>
      </c>
      <c r="H79" s="515">
        <v>600</v>
      </c>
      <c r="I79" s="516" t="str">
        <f t="shared" si="0"/>
        <v>UDEN FOR OMRÅDET</v>
      </c>
      <c r="J79" s="517"/>
    </row>
    <row r="80" spans="1:10" hidden="1" x14ac:dyDescent="0.2"/>
  </sheetData>
  <sheetProtection sheet="1" objects="1" scenarios="1"/>
  <mergeCells count="6">
    <mergeCell ref="A1:J1"/>
    <mergeCell ref="A50:J50"/>
    <mergeCell ref="A2:J2"/>
    <mergeCell ref="A9:A10"/>
    <mergeCell ref="B9:C9"/>
    <mergeCell ref="D9:E9"/>
  </mergeCells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50"/>
  <sheetViews>
    <sheetView showGridLines="0" zoomScaleNormal="100" workbookViewId="0">
      <selection activeCell="A2" sqref="A2:J2"/>
    </sheetView>
  </sheetViews>
  <sheetFormatPr defaultColWidth="8.85546875" defaultRowHeight="12.75" x14ac:dyDescent="0.2"/>
  <cols>
    <col min="1" max="1" width="7.7109375" customWidth="1"/>
    <col min="2" max="2" width="9.7109375" customWidth="1"/>
    <col min="3" max="3" width="16.42578125" customWidth="1"/>
    <col min="4" max="5" width="15.7109375" customWidth="1"/>
    <col min="6" max="6" width="6" bestFit="1" customWidth="1"/>
    <col min="7" max="7" width="5.7109375" bestFit="1" customWidth="1"/>
    <col min="8" max="8" width="7.140625" customWidth="1"/>
    <col min="9" max="9" width="10.7109375" customWidth="1"/>
    <col min="10" max="10" width="20.42578125" bestFit="1" customWidth="1"/>
    <col min="14" max="15" width="20.28515625" bestFit="1" customWidth="1"/>
  </cols>
  <sheetData>
    <row r="1" spans="1:11" ht="21" thickTop="1" x14ac:dyDescent="0.3">
      <c r="A1" s="880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5"/>
    </row>
    <row r="2" spans="1:11" ht="21" thickBot="1" x14ac:dyDescent="0.35">
      <c r="A2" s="889" t="s">
        <v>853</v>
      </c>
      <c r="B2" s="890"/>
      <c r="C2" s="890"/>
      <c r="D2" s="890"/>
      <c r="E2" s="890"/>
      <c r="F2" s="890"/>
      <c r="G2" s="890"/>
      <c r="H2" s="890"/>
      <c r="I2" s="890"/>
      <c r="J2" s="891"/>
      <c r="K2" s="5"/>
    </row>
    <row r="3" spans="1:11" ht="13.5" thickTop="1" x14ac:dyDescent="0.2">
      <c r="A3" s="20"/>
      <c r="B3" s="50"/>
      <c r="C3" s="21"/>
      <c r="D3" s="21"/>
      <c r="E3" s="21"/>
      <c r="F3" s="21"/>
      <c r="G3" s="21"/>
      <c r="H3" s="21"/>
      <c r="I3" s="21"/>
      <c r="J3" s="22"/>
    </row>
    <row r="4" spans="1:11" ht="13.5" thickBot="1" x14ac:dyDescent="0.25">
      <c r="A4" s="24"/>
      <c r="C4" s="19" t="s">
        <v>25</v>
      </c>
      <c r="E4" s="25"/>
      <c r="J4" s="23"/>
    </row>
    <row r="5" spans="1:11" ht="13.5" thickBot="1" x14ac:dyDescent="0.25">
      <c r="A5" s="32" t="s">
        <v>30</v>
      </c>
      <c r="B5" s="25"/>
      <c r="C5" s="441">
        <v>40</v>
      </c>
      <c r="D5" s="26" t="s">
        <v>57</v>
      </c>
      <c r="J5" s="23"/>
    </row>
    <row r="6" spans="1:11" ht="13.5" thickBot="1" x14ac:dyDescent="0.25">
      <c r="A6" s="32" t="s">
        <v>56</v>
      </c>
      <c r="B6" s="25"/>
      <c r="C6" s="441">
        <v>15000</v>
      </c>
      <c r="D6" s="26" t="s">
        <v>58</v>
      </c>
      <c r="G6" s="25"/>
      <c r="J6" s="23"/>
    </row>
    <row r="7" spans="1:11" x14ac:dyDescent="0.2">
      <c r="A7" s="24"/>
      <c r="G7" s="25"/>
      <c r="J7" s="23"/>
    </row>
    <row r="8" spans="1:11" ht="13.5" thickBot="1" x14ac:dyDescent="0.25">
      <c r="A8" s="24"/>
      <c r="J8" s="23"/>
    </row>
    <row r="9" spans="1:11" ht="13.5" thickTop="1" x14ac:dyDescent="0.2">
      <c r="A9" s="905" t="s">
        <v>42</v>
      </c>
      <c r="B9" s="907" t="s">
        <v>59</v>
      </c>
      <c r="C9" s="888" t="s">
        <v>60</v>
      </c>
      <c r="D9" s="888"/>
      <c r="E9" s="12" t="s">
        <v>62</v>
      </c>
      <c r="J9" s="23"/>
    </row>
    <row r="10" spans="1:11" x14ac:dyDescent="0.2">
      <c r="A10" s="906"/>
      <c r="B10" s="908"/>
      <c r="C10" s="232" t="s">
        <v>55</v>
      </c>
      <c r="D10" s="232" t="s">
        <v>61</v>
      </c>
      <c r="E10" s="256" t="s">
        <v>26</v>
      </c>
      <c r="J10" s="23"/>
    </row>
    <row r="11" spans="1:11" x14ac:dyDescent="0.2">
      <c r="A11" s="460" t="s">
        <v>43</v>
      </c>
      <c r="B11" s="477" t="s">
        <v>44</v>
      </c>
      <c r="C11" s="462" t="s">
        <v>31</v>
      </c>
      <c r="D11" s="462" t="s">
        <v>40</v>
      </c>
      <c r="E11" s="567" t="str">
        <f>IF(I38="UDEN FOR OMRÅDET","NOT POSSIBLE",IF(J38="UDEN FOR OMRÅDET","NOT POSSIBLE",(1.86+(($C$5-C38)*E38)+($C$6/D38))))</f>
        <v>NOT POSSIBLE</v>
      </c>
      <c r="J11" s="23"/>
    </row>
    <row r="12" spans="1:11" x14ac:dyDescent="0.2">
      <c r="A12" s="463" t="s">
        <v>43</v>
      </c>
      <c r="B12" s="478" t="s">
        <v>45</v>
      </c>
      <c r="C12" s="232" t="s">
        <v>32</v>
      </c>
      <c r="D12" s="232" t="s">
        <v>41</v>
      </c>
      <c r="E12" s="567" t="str">
        <f>IF(I39="UDEN FOR OMRÅDET","NOT POSSIBLE",IF(J39="UDEN FOR OMRÅDET","NOT POSSIBLE",(1.9+(($C$5-C39)*E39)+($C$6/D39))))</f>
        <v>NOT POSSIBLE</v>
      </c>
      <c r="J12" s="23"/>
    </row>
    <row r="13" spans="1:11" x14ac:dyDescent="0.2">
      <c r="A13" s="460" t="s">
        <v>46</v>
      </c>
      <c r="B13" s="477" t="s">
        <v>47</v>
      </c>
      <c r="C13" s="462" t="s">
        <v>33</v>
      </c>
      <c r="D13" s="462" t="s">
        <v>40</v>
      </c>
      <c r="E13" s="567" t="str">
        <f>IF(I40="UDEN FOR OMRÅDET","NOT POSSIBLE",IF(J40="UDEN FOR OMRÅDET","NOT POSSIBLE",(1.8+(($C$5-C40)*E40)+($C$6/D40))))</f>
        <v>NOT POSSIBLE</v>
      </c>
      <c r="J13" s="23"/>
    </row>
    <row r="14" spans="1:11" x14ac:dyDescent="0.2">
      <c r="A14" s="463" t="s">
        <v>48</v>
      </c>
      <c r="B14" s="478" t="s">
        <v>53</v>
      </c>
      <c r="C14" s="232" t="s">
        <v>34</v>
      </c>
      <c r="D14" s="232" t="s">
        <v>41</v>
      </c>
      <c r="E14" s="567" t="str">
        <f>IF(I41="UDEN FOR OMRÅDET","NOT POSSIBLE",IF(J41="UDEN FOR OMRÅDET","NOT POSSIBLE",(1.8+(($C$5-C41)*E41)+($C$6/D41))))</f>
        <v>NOT POSSIBLE</v>
      </c>
      <c r="J14" s="23"/>
    </row>
    <row r="15" spans="1:11" x14ac:dyDescent="0.2">
      <c r="A15" s="460" t="s">
        <v>49</v>
      </c>
      <c r="B15" s="477" t="s">
        <v>44</v>
      </c>
      <c r="C15" s="462" t="s">
        <v>35</v>
      </c>
      <c r="D15" s="462" t="s">
        <v>40</v>
      </c>
      <c r="E15" s="567" t="str">
        <f>IF(I42="UDEN FOR OMRÅDET","NOT POSSIBLE",IF(J42="UDEN FOR OMRÅDET","NOT POSSIBLE",(1.2+(($C$5-C42)*E42)+($C$6/D42))))</f>
        <v>NOT POSSIBLE</v>
      </c>
      <c r="J15" s="23"/>
    </row>
    <row r="16" spans="1:11" x14ac:dyDescent="0.2">
      <c r="A16" s="463" t="s">
        <v>49</v>
      </c>
      <c r="B16" s="478" t="s">
        <v>45</v>
      </c>
      <c r="C16" s="232" t="s">
        <v>36</v>
      </c>
      <c r="D16" s="232" t="s">
        <v>41</v>
      </c>
      <c r="E16" s="567" t="str">
        <f>IF(I43="UDEN FOR OMRÅDET","NOT POSSIBLE",IF(J43="UDEN FOR OMRÅDET","NOT POSSIBLE",(1.5+(($C$5-C43)*E43)+($C$6/D43))))</f>
        <v>NOT POSSIBLE</v>
      </c>
      <c r="J16" s="23"/>
    </row>
    <row r="17" spans="1:10" x14ac:dyDescent="0.2">
      <c r="A17" s="460" t="s">
        <v>50</v>
      </c>
      <c r="B17" s="477" t="s">
        <v>54</v>
      </c>
      <c r="C17" s="462" t="s">
        <v>37</v>
      </c>
      <c r="D17" s="462" t="s">
        <v>41</v>
      </c>
      <c r="E17" s="567" t="str">
        <f>IF(I44="UDEN FOR OMRÅDET","NOT POSSIBLE",IF(J44="UDEN FOR OMRÅDET","NOT POSSIBLE",(1.2+(($C$5-C44)*E44)+($C$6/D44))))</f>
        <v>NOT POSSIBLE</v>
      </c>
      <c r="J17" s="23"/>
    </row>
    <row r="18" spans="1:10" x14ac:dyDescent="0.2">
      <c r="A18" s="463" t="s">
        <v>51</v>
      </c>
      <c r="B18" s="478" t="s">
        <v>54</v>
      </c>
      <c r="C18" s="232" t="s">
        <v>38</v>
      </c>
      <c r="D18" s="232" t="s">
        <v>41</v>
      </c>
      <c r="E18" s="567" t="str">
        <f>IF(I45="UDEN FOR OMRÅDET","NOT POSSIBLE",IF(J45="UDEN FOR OMRÅDET","NOT POSSIBLE",(0.6+(($C$5-C45)*E45)+($C$6/D45))))</f>
        <v>NOT POSSIBLE</v>
      </c>
      <c r="J18" s="23"/>
    </row>
    <row r="19" spans="1:10" ht="13.5" thickBot="1" x14ac:dyDescent="0.25">
      <c r="A19" s="465" t="s">
        <v>52</v>
      </c>
      <c r="B19" s="479" t="s">
        <v>54</v>
      </c>
      <c r="C19" s="466" t="s">
        <v>39</v>
      </c>
      <c r="D19" s="466" t="s">
        <v>41</v>
      </c>
      <c r="E19" s="568">
        <f>IF(I46="UDEN FOR OMRÅDET","NOT POSSIBLE",IF(J46="UDEN FOR OMRÅDET","NOT POSSIBLE",(-0.4+(($C$5-C46)*E46)+($C$6/D46))))</f>
        <v>13.353151511354175</v>
      </c>
      <c r="J19" s="23"/>
    </row>
    <row r="20" spans="1:10" ht="14.25" thickTop="1" thickBot="1" x14ac:dyDescent="0.25">
      <c r="A20" s="24"/>
      <c r="D20" s="27"/>
      <c r="J20" s="23"/>
    </row>
    <row r="21" spans="1:10" ht="13.5" thickTop="1" x14ac:dyDescent="0.2">
      <c r="A21" s="904" t="s">
        <v>63</v>
      </c>
      <c r="B21" s="884"/>
      <c r="C21" s="884"/>
      <c r="D21" s="885"/>
      <c r="E21" s="25"/>
      <c r="J21" s="23"/>
    </row>
    <row r="22" spans="1:10" x14ac:dyDescent="0.2">
      <c r="A22" s="34" t="s">
        <v>24</v>
      </c>
      <c r="B22" s="51"/>
      <c r="C22" s="35" t="s">
        <v>27</v>
      </c>
      <c r="D22" s="36" t="s">
        <v>29</v>
      </c>
      <c r="J22" s="23"/>
    </row>
    <row r="23" spans="1:10" x14ac:dyDescent="0.2">
      <c r="A23" s="34" t="s">
        <v>12</v>
      </c>
      <c r="B23" s="51"/>
      <c r="C23" s="549" t="str">
        <f t="shared" ref="C23:C31" si="0">IF(E11="NOT POSSIBLE","NOT POSSIBLE",($C$6/(1000*F38))^2*100)</f>
        <v>NOT POSSIBLE</v>
      </c>
      <c r="D23" s="550" t="str">
        <f t="shared" ref="D23:D31" si="1">IF(E11="NOT POSSIBLE","NOT POSSIBLE",($C$5+C23))</f>
        <v>NOT POSSIBLE</v>
      </c>
      <c r="J23" s="23"/>
    </row>
    <row r="24" spans="1:10" x14ac:dyDescent="0.2">
      <c r="A24" s="34" t="s">
        <v>13</v>
      </c>
      <c r="B24" s="51"/>
      <c r="C24" s="549" t="str">
        <f t="shared" si="0"/>
        <v>NOT POSSIBLE</v>
      </c>
      <c r="D24" s="550" t="str">
        <f t="shared" si="1"/>
        <v>NOT POSSIBLE</v>
      </c>
      <c r="J24" s="23"/>
    </row>
    <row r="25" spans="1:10" x14ac:dyDescent="0.2">
      <c r="A25" s="34" t="s">
        <v>21</v>
      </c>
      <c r="B25" s="51"/>
      <c r="C25" s="549" t="str">
        <f t="shared" si="0"/>
        <v>NOT POSSIBLE</v>
      </c>
      <c r="D25" s="550" t="str">
        <f t="shared" si="1"/>
        <v>NOT POSSIBLE</v>
      </c>
      <c r="J25" s="23"/>
    </row>
    <row r="26" spans="1:10" x14ac:dyDescent="0.2">
      <c r="A26" s="34" t="s">
        <v>22</v>
      </c>
      <c r="B26" s="51"/>
      <c r="C26" s="549" t="str">
        <f t="shared" si="0"/>
        <v>NOT POSSIBLE</v>
      </c>
      <c r="D26" s="550" t="str">
        <f t="shared" si="1"/>
        <v>NOT POSSIBLE</v>
      </c>
      <c r="J26" s="23"/>
    </row>
    <row r="27" spans="1:10" x14ac:dyDescent="0.2">
      <c r="A27" s="34" t="s">
        <v>16</v>
      </c>
      <c r="B27" s="51"/>
      <c r="C27" s="549" t="str">
        <f t="shared" si="0"/>
        <v>NOT POSSIBLE</v>
      </c>
      <c r="D27" s="550" t="str">
        <f t="shared" si="1"/>
        <v>NOT POSSIBLE</v>
      </c>
      <c r="J27" s="23"/>
    </row>
    <row r="28" spans="1:10" x14ac:dyDescent="0.2">
      <c r="A28" s="34" t="s">
        <v>17</v>
      </c>
      <c r="B28" s="51"/>
      <c r="C28" s="549" t="str">
        <f t="shared" si="0"/>
        <v>NOT POSSIBLE</v>
      </c>
      <c r="D28" s="550" t="str">
        <f t="shared" si="1"/>
        <v>NOT POSSIBLE</v>
      </c>
      <c r="J28" s="23"/>
    </row>
    <row r="29" spans="1:10" x14ac:dyDescent="0.2">
      <c r="A29" s="34" t="s">
        <v>18</v>
      </c>
      <c r="B29" s="51"/>
      <c r="C29" s="549" t="str">
        <f t="shared" si="0"/>
        <v>NOT POSSIBLE</v>
      </c>
      <c r="D29" s="550" t="str">
        <f t="shared" si="1"/>
        <v>NOT POSSIBLE</v>
      </c>
      <c r="J29" s="23"/>
    </row>
    <row r="30" spans="1:10" x14ac:dyDescent="0.2">
      <c r="A30" s="34" t="s">
        <v>19</v>
      </c>
      <c r="B30" s="51"/>
      <c r="C30" s="549" t="str">
        <f t="shared" si="0"/>
        <v>NOT POSSIBLE</v>
      </c>
      <c r="D30" s="550" t="str">
        <f t="shared" si="1"/>
        <v>NOT POSSIBLE</v>
      </c>
      <c r="J30" s="23"/>
    </row>
    <row r="31" spans="1:10" ht="13.5" thickBot="1" x14ac:dyDescent="0.25">
      <c r="A31" s="467" t="s">
        <v>20</v>
      </c>
      <c r="B31" s="480"/>
      <c r="C31" s="554">
        <f t="shared" si="0"/>
        <v>70.222527386785686</v>
      </c>
      <c r="D31" s="555">
        <f t="shared" si="1"/>
        <v>110.22252738678569</v>
      </c>
      <c r="J31" s="23"/>
    </row>
    <row r="32" spans="1:10" ht="13.5" thickTop="1" x14ac:dyDescent="0.2">
      <c r="A32" s="24"/>
      <c r="E32" s="28"/>
      <c r="J32" s="23"/>
    </row>
    <row r="33" spans="1:11" ht="13.5" thickBot="1" x14ac:dyDescent="0.25">
      <c r="A33" s="29" t="s">
        <v>64</v>
      </c>
      <c r="B33" s="30"/>
      <c r="C33" s="30"/>
      <c r="D33" s="30"/>
      <c r="E33" s="30"/>
      <c r="F33" s="30"/>
      <c r="G33" s="30"/>
      <c r="H33" s="30"/>
      <c r="I33" s="30"/>
      <c r="J33" s="31"/>
    </row>
    <row r="34" spans="1:11" ht="13.5" hidden="1" thickTop="1" x14ac:dyDescent="0.2"/>
    <row r="35" spans="1:11" s="4" customFormat="1" ht="31.5" hidden="1" customHeight="1" x14ac:dyDescent="0.4">
      <c r="A35" s="882" t="s">
        <v>11</v>
      </c>
      <c r="B35" s="882"/>
      <c r="C35" s="883"/>
      <c r="D35" s="883"/>
      <c r="E35" s="883"/>
      <c r="F35" s="883"/>
      <c r="G35" s="883"/>
      <c r="H35" s="883"/>
      <c r="I35" s="883"/>
      <c r="J35" s="883"/>
      <c r="K35" s="6"/>
    </row>
    <row r="36" spans="1:11" ht="13.5" hidden="1" thickBot="1" x14ac:dyDescent="0.25"/>
    <row r="37" spans="1:11" ht="13.5" hidden="1" thickTop="1" x14ac:dyDescent="0.2">
      <c r="A37" s="9" t="s">
        <v>0</v>
      </c>
      <c r="B37" s="52"/>
      <c r="C37" s="10" t="s">
        <v>1</v>
      </c>
      <c r="D37" s="10" t="s">
        <v>2</v>
      </c>
      <c r="E37" s="10" t="s">
        <v>3</v>
      </c>
      <c r="F37" s="10" t="s">
        <v>8</v>
      </c>
      <c r="G37" s="10" t="s">
        <v>4</v>
      </c>
      <c r="H37" s="10" t="s">
        <v>5</v>
      </c>
      <c r="I37" s="11" t="s">
        <v>6</v>
      </c>
      <c r="J37" s="12" t="s">
        <v>7</v>
      </c>
    </row>
    <row r="38" spans="1:11" hidden="1" x14ac:dyDescent="0.2">
      <c r="A38" s="13" t="s">
        <v>12</v>
      </c>
      <c r="B38" s="53"/>
      <c r="C38" s="7">
        <v>5</v>
      </c>
      <c r="D38" s="43">
        <v>494.76</v>
      </c>
      <c r="E38" s="44">
        <v>0.5575</v>
      </c>
      <c r="F38" s="40">
        <v>3.6</v>
      </c>
      <c r="G38" s="38">
        <v>50</v>
      </c>
      <c r="H38" s="1">
        <v>600</v>
      </c>
      <c r="I38" s="2" t="str">
        <f t="shared" ref="I38:I46" si="2">IF($C$6&lt;=G38-1,"UDEN FOR OMRÅDET",IF($C$6&gt;=H38+1,"UDEN FOR OMRÅDET",$C$6))</f>
        <v>UDEN FOR OMRÅDET</v>
      </c>
      <c r="J38" s="14" t="str">
        <f>IF($C$5&lt;=4,"UDEN FOR OMRÅDET",IF($C$5&gt;=31,"UDEN FOR OMRÅDET",$C$5))</f>
        <v>UDEN FOR OMRÅDET</v>
      </c>
    </row>
    <row r="39" spans="1:11" hidden="1" x14ac:dyDescent="0.2">
      <c r="A39" s="13" t="s">
        <v>13</v>
      </c>
      <c r="B39" s="53"/>
      <c r="C39" s="7">
        <v>20</v>
      </c>
      <c r="D39" s="43">
        <v>747.59</v>
      </c>
      <c r="E39" s="44">
        <v>0.31330000000000002</v>
      </c>
      <c r="F39" s="40">
        <v>3.6</v>
      </c>
      <c r="G39" s="38">
        <v>100</v>
      </c>
      <c r="H39" s="1">
        <v>1200</v>
      </c>
      <c r="I39" s="2" t="str">
        <f t="shared" si="2"/>
        <v>UDEN FOR OMRÅDET</v>
      </c>
      <c r="J39" s="14">
        <f>IF($C$5&lt;=19,"UDEN FOR OMRÅDET",IF($C$5&gt;=61,"UDEN FOR OMRÅDET",$C$5))</f>
        <v>40</v>
      </c>
    </row>
    <row r="40" spans="1:11" hidden="1" x14ac:dyDescent="0.2">
      <c r="A40" s="13" t="s">
        <v>14</v>
      </c>
      <c r="B40" s="53"/>
      <c r="C40" s="7">
        <v>5</v>
      </c>
      <c r="D40" s="43">
        <v>682.82</v>
      </c>
      <c r="E40" s="44">
        <v>0.59</v>
      </c>
      <c r="F40" s="40">
        <v>4</v>
      </c>
      <c r="G40" s="38">
        <v>100</v>
      </c>
      <c r="H40" s="1">
        <v>1000</v>
      </c>
      <c r="I40" s="2" t="str">
        <f t="shared" si="2"/>
        <v>UDEN FOR OMRÅDET</v>
      </c>
      <c r="J40" s="14" t="str">
        <f>IF($C$5&lt;=4,"UDEN FOR OMRÅDET",IF($C$5&gt;=31,"UDEN FOR OMRÅDET",$C$5))</f>
        <v>UDEN FOR OMRÅDET</v>
      </c>
    </row>
    <row r="41" spans="1:11" hidden="1" x14ac:dyDescent="0.2">
      <c r="A41" s="13" t="s">
        <v>15</v>
      </c>
      <c r="B41" s="53"/>
      <c r="C41" s="7">
        <v>20</v>
      </c>
      <c r="D41" s="43">
        <v>596.44000000000005</v>
      </c>
      <c r="E41" s="44">
        <v>0.32400000000000001</v>
      </c>
      <c r="F41" s="40">
        <v>4</v>
      </c>
      <c r="G41" s="38">
        <v>150</v>
      </c>
      <c r="H41" s="1">
        <v>2000</v>
      </c>
      <c r="I41" s="2" t="str">
        <f t="shared" si="2"/>
        <v>UDEN FOR OMRÅDET</v>
      </c>
      <c r="J41" s="14">
        <f>IF($C$5&lt;=19,"UDEN FOR OMRÅDET",IF($C$5&gt;=61,"UDEN FOR OMRÅDET",$C$5))</f>
        <v>40</v>
      </c>
    </row>
    <row r="42" spans="1:11" hidden="1" x14ac:dyDescent="0.2">
      <c r="A42" s="13" t="s">
        <v>16</v>
      </c>
      <c r="B42" s="53"/>
      <c r="C42" s="7">
        <v>5</v>
      </c>
      <c r="D42" s="43">
        <v>802.65</v>
      </c>
      <c r="E42" s="44">
        <v>1.26</v>
      </c>
      <c r="F42" s="40">
        <v>9.5</v>
      </c>
      <c r="G42" s="38">
        <v>600</v>
      </c>
      <c r="H42" s="1">
        <v>2500</v>
      </c>
      <c r="I42" s="2" t="str">
        <f t="shared" si="2"/>
        <v>UDEN FOR OMRÅDET</v>
      </c>
      <c r="J42" s="14" t="str">
        <f>IF($C$5&lt;=4,"UDEN FOR OMRÅDET",IF($C$5&gt;=31,"UDEN FOR OMRÅDET",$C$5))</f>
        <v>UDEN FOR OMRÅDET</v>
      </c>
    </row>
    <row r="43" spans="1:11" hidden="1" x14ac:dyDescent="0.2">
      <c r="A43" s="13" t="s">
        <v>17</v>
      </c>
      <c r="B43" s="53"/>
      <c r="C43" s="7">
        <v>20</v>
      </c>
      <c r="D43" s="43">
        <v>1529.6</v>
      </c>
      <c r="E43" s="44">
        <v>0.71750000000000003</v>
      </c>
      <c r="F43" s="40">
        <v>9.5</v>
      </c>
      <c r="G43" s="38">
        <v>700</v>
      </c>
      <c r="H43" s="1">
        <v>4200</v>
      </c>
      <c r="I43" s="2" t="str">
        <f t="shared" si="2"/>
        <v>UDEN FOR OMRÅDET</v>
      </c>
      <c r="J43" s="14">
        <f>IF($C$5&lt;=19,"UDEN FOR OMRÅDET",IF($C$5&gt;=61,"UDEN FOR OMRÅDET",$C$5))</f>
        <v>40</v>
      </c>
    </row>
    <row r="44" spans="1:11" hidden="1" x14ac:dyDescent="0.2">
      <c r="A44" s="13" t="s">
        <v>18</v>
      </c>
      <c r="B44" s="53"/>
      <c r="C44" s="7">
        <v>20</v>
      </c>
      <c r="D44" s="43">
        <v>1338.84</v>
      </c>
      <c r="E44" s="44">
        <v>0.48330000000000001</v>
      </c>
      <c r="F44" s="40">
        <v>11.4</v>
      </c>
      <c r="G44" s="38">
        <v>1000</v>
      </c>
      <c r="H44" s="1">
        <v>5000</v>
      </c>
      <c r="I44" s="2" t="str">
        <f t="shared" si="2"/>
        <v>UDEN FOR OMRÅDET</v>
      </c>
      <c r="J44" s="14">
        <f>IF($C$5&lt;=19,"UDEN FOR OMRÅDET",IF($C$5&gt;=81,"UDEN FOR OMRÅDET",$C$5))</f>
        <v>40</v>
      </c>
    </row>
    <row r="45" spans="1:11" hidden="1" x14ac:dyDescent="0.2">
      <c r="A45" s="13" t="s">
        <v>19</v>
      </c>
      <c r="B45" s="53"/>
      <c r="C45" s="7">
        <v>20</v>
      </c>
      <c r="D45" s="47">
        <v>2213.08</v>
      </c>
      <c r="E45" s="48">
        <v>0.4133</v>
      </c>
      <c r="F45" s="41">
        <v>16.399999999999999</v>
      </c>
      <c r="G45" s="3">
        <v>3000</v>
      </c>
      <c r="H45" s="3">
        <v>8000</v>
      </c>
      <c r="I45" s="2" t="str">
        <f t="shared" si="2"/>
        <v>UDEN FOR OMRÅDET</v>
      </c>
      <c r="J45" s="14">
        <f>IF($C$5&lt;=19,"UDEN FOR OMRÅDET",IF($C$5&gt;=81,"UDEN FOR OMRÅDET",$C$5))</f>
        <v>40</v>
      </c>
    </row>
    <row r="46" spans="1:11" ht="13.5" hidden="1" thickBot="1" x14ac:dyDescent="0.25">
      <c r="A46" s="15" t="s">
        <v>20</v>
      </c>
      <c r="B46" s="54"/>
      <c r="C46" s="39">
        <v>20</v>
      </c>
      <c r="D46" s="45">
        <v>2234.42</v>
      </c>
      <c r="E46" s="46">
        <v>0.35199999999999998</v>
      </c>
      <c r="F46" s="42">
        <v>17.899999999999999</v>
      </c>
      <c r="G46" s="16">
        <v>5000</v>
      </c>
      <c r="H46" s="16">
        <v>15000</v>
      </c>
      <c r="I46" s="17">
        <f t="shared" si="2"/>
        <v>15000</v>
      </c>
      <c r="J46" s="18">
        <f>IF($C$5&lt;=19,"UDEN FOR OMRÅDET",IF($C$5&gt;=81,"UDEN FOR OMRÅDET",$C$5))</f>
        <v>40</v>
      </c>
    </row>
    <row r="47" spans="1:11" ht="13.5" hidden="1" thickTop="1" x14ac:dyDescent="0.2">
      <c r="A47" s="8"/>
      <c r="B47" s="8"/>
    </row>
    <row r="48" spans="1:11" hidden="1" x14ac:dyDescent="0.2"/>
    <row r="49" hidden="1" x14ac:dyDescent="0.2"/>
    <row r="50" ht="13.5" thickTop="1" x14ac:dyDescent="0.2"/>
  </sheetData>
  <sheetProtection sheet="1" objects="1" scenarios="1"/>
  <mergeCells count="7">
    <mergeCell ref="A1:J1"/>
    <mergeCell ref="A35:J35"/>
    <mergeCell ref="A21:D21"/>
    <mergeCell ref="A2:J2"/>
    <mergeCell ref="C9:D9"/>
    <mergeCell ref="A9:A10"/>
    <mergeCell ref="B9:B10"/>
  </mergeCells>
  <phoneticPr fontId="0" type="noConversion"/>
  <pageMargins left="1.5748031496062993" right="0.78740157480314965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57"/>
  <sheetViews>
    <sheetView showGridLines="0" zoomScaleNormal="100" workbookViewId="0">
      <selection activeCell="A3" sqref="A3"/>
    </sheetView>
  </sheetViews>
  <sheetFormatPr defaultColWidth="8.85546875" defaultRowHeight="12.75" x14ac:dyDescent="0.2"/>
  <cols>
    <col min="1" max="1" width="10.7109375" customWidth="1"/>
    <col min="2" max="2" width="9.7109375" customWidth="1"/>
    <col min="3" max="3" width="16.42578125" customWidth="1"/>
    <col min="4" max="5" width="15.7109375" customWidth="1"/>
    <col min="6" max="6" width="6" bestFit="1" customWidth="1"/>
    <col min="7" max="7" width="5.7109375" bestFit="1" customWidth="1"/>
    <col min="8" max="8" width="7.140625" customWidth="1"/>
    <col min="9" max="9" width="10.7109375" customWidth="1"/>
    <col min="10" max="10" width="20.42578125" bestFit="1" customWidth="1"/>
    <col min="14" max="15" width="20.28515625" bestFit="1" customWidth="1"/>
  </cols>
  <sheetData>
    <row r="1" spans="1:11" ht="21" thickTop="1" x14ac:dyDescent="0.3">
      <c r="A1" s="880" t="s">
        <v>555</v>
      </c>
      <c r="B1" s="881"/>
      <c r="C1" s="881"/>
      <c r="D1" s="881"/>
      <c r="E1" s="881"/>
      <c r="F1" s="881"/>
      <c r="G1" s="881"/>
      <c r="H1" s="881"/>
      <c r="I1" s="881"/>
      <c r="J1" s="892"/>
      <c r="K1" s="5"/>
    </row>
    <row r="2" spans="1:11" ht="21" thickBot="1" x14ac:dyDescent="0.35">
      <c r="A2" s="889" t="s">
        <v>853</v>
      </c>
      <c r="B2" s="890"/>
      <c r="C2" s="890"/>
      <c r="D2" s="890"/>
      <c r="E2" s="890"/>
      <c r="F2" s="890"/>
      <c r="G2" s="890"/>
      <c r="H2" s="890"/>
      <c r="I2" s="890"/>
      <c r="J2" s="891"/>
      <c r="K2" s="5"/>
    </row>
    <row r="3" spans="1:11" ht="13.5" thickTop="1" x14ac:dyDescent="0.2">
      <c r="A3" s="20"/>
      <c r="B3" s="50"/>
      <c r="C3" s="21"/>
      <c r="D3" s="21"/>
      <c r="E3" s="21"/>
      <c r="F3" s="21"/>
      <c r="G3" s="21"/>
      <c r="H3" s="21"/>
      <c r="I3" s="21"/>
      <c r="J3" s="22"/>
    </row>
    <row r="4" spans="1:11" ht="13.5" thickBot="1" x14ac:dyDescent="0.25">
      <c r="A4" s="24"/>
      <c r="C4" s="19" t="s">
        <v>25</v>
      </c>
      <c r="E4" s="25"/>
      <c r="J4" s="23"/>
    </row>
    <row r="5" spans="1:11" ht="13.5" thickBot="1" x14ac:dyDescent="0.25">
      <c r="A5" s="32" t="s">
        <v>30</v>
      </c>
      <c r="B5" s="25"/>
      <c r="C5" s="441">
        <v>20</v>
      </c>
      <c r="D5" s="26" t="s">
        <v>57</v>
      </c>
      <c r="J5" s="23"/>
    </row>
    <row r="6" spans="1:11" ht="13.5" thickBot="1" x14ac:dyDescent="0.25">
      <c r="A6" s="32" t="s">
        <v>56</v>
      </c>
      <c r="B6" s="25"/>
      <c r="C6" s="441">
        <v>500</v>
      </c>
      <c r="D6" s="26" t="s">
        <v>58</v>
      </c>
      <c r="G6" s="25"/>
      <c r="J6" s="23"/>
    </row>
    <row r="7" spans="1:11" x14ac:dyDescent="0.2">
      <c r="A7" s="24"/>
      <c r="G7" s="25"/>
      <c r="J7" s="23"/>
    </row>
    <row r="8" spans="1:11" ht="13.5" thickBot="1" x14ac:dyDescent="0.25">
      <c r="A8" s="24"/>
      <c r="J8" s="23"/>
    </row>
    <row r="9" spans="1:11" ht="13.5" thickTop="1" x14ac:dyDescent="0.2">
      <c r="A9" s="909" t="s">
        <v>42</v>
      </c>
      <c r="B9" s="911" t="s">
        <v>59</v>
      </c>
      <c r="C9" s="888" t="s">
        <v>60</v>
      </c>
      <c r="D9" s="888"/>
      <c r="E9" s="12" t="s">
        <v>62</v>
      </c>
      <c r="J9" s="23"/>
    </row>
    <row r="10" spans="1:11" x14ac:dyDescent="0.2">
      <c r="A10" s="910"/>
      <c r="B10" s="912"/>
      <c r="C10" s="232" t="s">
        <v>55</v>
      </c>
      <c r="D10" s="232" t="s">
        <v>61</v>
      </c>
      <c r="E10" s="256" t="s">
        <v>26</v>
      </c>
      <c r="J10" s="23"/>
    </row>
    <row r="11" spans="1:11" x14ac:dyDescent="0.2">
      <c r="A11" s="460" t="s">
        <v>43</v>
      </c>
      <c r="B11" s="461" t="s">
        <v>44</v>
      </c>
      <c r="C11" s="462" t="s">
        <v>31</v>
      </c>
      <c r="D11" s="462" t="s">
        <v>553</v>
      </c>
      <c r="E11" s="567">
        <f>IF(I42="UDEN FOR OMRÅDET","NOT POSSIBLE",IF(J42="UDEN FOR OMRÅDET","NOT POSSIBLE",(-0.2+(($C$5-C42)*E42)+($C$6/D42))))</f>
        <v>11.838235294117649</v>
      </c>
      <c r="J11" s="23"/>
    </row>
    <row r="12" spans="1:11" x14ac:dyDescent="0.2">
      <c r="A12" s="463" t="s">
        <v>43</v>
      </c>
      <c r="B12" s="464" t="s">
        <v>45</v>
      </c>
      <c r="C12" s="232" t="s">
        <v>33</v>
      </c>
      <c r="D12" s="232" t="s">
        <v>554</v>
      </c>
      <c r="E12" s="567">
        <f>IF(I43="UDEN FOR OMRÅDET","NOT POSSIBLE",IF(J43="UDEN FOR OMRÅDET","NOT POSSIBLE",(-0.3+(($C$5-C43)*E43)+($C$6/D43))))</f>
        <v>1.3</v>
      </c>
      <c r="J12" s="23"/>
    </row>
    <row r="13" spans="1:11" x14ac:dyDescent="0.2">
      <c r="A13" s="460" t="s">
        <v>48</v>
      </c>
      <c r="B13" s="461" t="s">
        <v>44</v>
      </c>
      <c r="C13" s="462" t="s">
        <v>33</v>
      </c>
      <c r="D13" s="462" t="s">
        <v>553</v>
      </c>
      <c r="E13" s="567">
        <f>IF(I44="UDEN FOR OMRÅDET","NOT POSSIBLE",IF(J44="UDEN FOR OMRÅDET","NOT POSSIBLE",(-0.2+(($C$5-C44)*E44)+($C$6/D44))))</f>
        <v>11.838235294117649</v>
      </c>
      <c r="J13" s="23"/>
    </row>
    <row r="14" spans="1:11" x14ac:dyDescent="0.2">
      <c r="A14" s="463" t="s">
        <v>48</v>
      </c>
      <c r="B14" s="464" t="s">
        <v>45</v>
      </c>
      <c r="C14" s="232" t="s">
        <v>34</v>
      </c>
      <c r="D14" s="232" t="s">
        <v>554</v>
      </c>
      <c r="E14" s="567">
        <f>IF(I45="UDEN FOR OMRÅDET","NOT POSSIBLE",IF(J45="UDEN FOR OMRÅDET","NOT POSSIBLE",(-0.3+(($C$5-C45)*E45)+($C$6/D45))))</f>
        <v>1.2974440894568691</v>
      </c>
      <c r="J14" s="23"/>
    </row>
    <row r="15" spans="1:11" x14ac:dyDescent="0.2">
      <c r="A15" s="460" t="s">
        <v>49</v>
      </c>
      <c r="B15" s="461" t="s">
        <v>44</v>
      </c>
      <c r="C15" s="462" t="s">
        <v>596</v>
      </c>
      <c r="D15" s="462" t="s">
        <v>553</v>
      </c>
      <c r="E15" s="567" t="str">
        <f>IF(I46="UDEN FOR OMRÅDET","NOT POSSIBLE",IF(J46="UDEN FOR OMRÅDET","NOT POSSIBLE",(-1.9+(($C$5-C46)*E46)+($C$6/D46))))</f>
        <v>NOT POSSIBLE</v>
      </c>
      <c r="J15" s="23"/>
    </row>
    <row r="16" spans="1:11" x14ac:dyDescent="0.2">
      <c r="A16" s="463" t="s">
        <v>657</v>
      </c>
      <c r="B16" s="464" t="s">
        <v>54</v>
      </c>
      <c r="C16" s="232" t="s">
        <v>570</v>
      </c>
      <c r="D16" s="232" t="s">
        <v>554</v>
      </c>
      <c r="E16" s="567" t="str">
        <f>IF(I47="UDEN FOR OMRÅDET","NOT POSSIBLE",IF(J47="UDEN FOR OMRÅDET","NOT POSSIBLE",(-0.65+(($C$5-C47)*E47)+($C$6/D47))))</f>
        <v>NOT POSSIBLE</v>
      </c>
      <c r="J16" s="23"/>
    </row>
    <row r="17" spans="1:10" x14ac:dyDescent="0.2">
      <c r="A17" s="460" t="s">
        <v>50</v>
      </c>
      <c r="B17" s="461" t="s">
        <v>54</v>
      </c>
      <c r="C17" s="462" t="s">
        <v>37</v>
      </c>
      <c r="D17" s="462" t="s">
        <v>554</v>
      </c>
      <c r="E17" s="567" t="str">
        <f>IF(I48="UDEN FOR OMRÅDET","NOT POSSIBLE",IF(J48="UDEN FOR OMRÅDET","NOT POSSIBLE",(-0.87+(($C$5-C48)*E48)+($C$6/D48))))</f>
        <v>NOT POSSIBLE</v>
      </c>
      <c r="J17" s="23"/>
    </row>
    <row r="18" spans="1:10" x14ac:dyDescent="0.2">
      <c r="A18" s="521" t="s">
        <v>51</v>
      </c>
      <c r="B18" s="522" t="s">
        <v>54</v>
      </c>
      <c r="C18" s="523" t="s">
        <v>38</v>
      </c>
      <c r="D18" s="523" t="s">
        <v>554</v>
      </c>
      <c r="E18" s="567" t="str">
        <f>IF(I49="UDEN FOR OMRÅDET","NOT POSSIBLE",IF(J49="UDEN FOR OMRÅDET","NOT POSSIBLE",(-1.27+(($C$5-C49)*E49)+($C$6/D49))))</f>
        <v>NOT POSSIBLE</v>
      </c>
      <c r="J18" s="23"/>
    </row>
    <row r="19" spans="1:10" x14ac:dyDescent="0.2">
      <c r="A19" s="460" t="s">
        <v>52</v>
      </c>
      <c r="B19" s="461" t="s">
        <v>54</v>
      </c>
      <c r="C19" s="462" t="s">
        <v>587</v>
      </c>
      <c r="D19" s="462" t="s">
        <v>554</v>
      </c>
      <c r="E19" s="567" t="str">
        <f>IF(I50="UDEN FOR OMRÅDET","NOT POSSIBLE",IF(J50="UDEN FOR OMRÅDET","NOT POSSIBLE",(-3.27+(($C$5-C50)*E50)+($C$6/D50))))</f>
        <v>NOT POSSIBLE</v>
      </c>
      <c r="J19" s="23"/>
    </row>
    <row r="20" spans="1:10" ht="13.5" thickBot="1" x14ac:dyDescent="0.25">
      <c r="A20" s="609" t="s">
        <v>696</v>
      </c>
      <c r="B20" s="610" t="s">
        <v>54</v>
      </c>
      <c r="C20" s="449" t="s">
        <v>697</v>
      </c>
      <c r="D20" s="449" t="s">
        <v>554</v>
      </c>
      <c r="E20" s="568" t="str">
        <f>IF(I51="UDEN FOR OMRÅDET","NOT POSSIBLE",IF(J51="UDEN FOR OMRÅDET","NOT POSSIBLE",(-3.27+(($C$5-C51)*E51)+($C$6/D51))))</f>
        <v>NOT POSSIBLE</v>
      </c>
      <c r="J20" s="23"/>
    </row>
    <row r="21" spans="1:10" ht="14.25" thickTop="1" thickBot="1" x14ac:dyDescent="0.25">
      <c r="A21" s="24"/>
      <c r="D21" s="27"/>
      <c r="J21" s="23"/>
    </row>
    <row r="22" spans="1:10" ht="13.5" thickTop="1" x14ac:dyDescent="0.2">
      <c r="A22" s="893" t="s">
        <v>63</v>
      </c>
      <c r="B22" s="888"/>
      <c r="C22" s="888"/>
      <c r="D22" s="895"/>
      <c r="E22" s="25"/>
      <c r="J22" s="23"/>
    </row>
    <row r="23" spans="1:10" x14ac:dyDescent="0.2">
      <c r="A23" s="34" t="s">
        <v>24</v>
      </c>
      <c r="B23" s="459"/>
      <c r="C23" s="35" t="s">
        <v>27</v>
      </c>
      <c r="D23" s="36" t="s">
        <v>29</v>
      </c>
      <c r="J23" s="23"/>
    </row>
    <row r="24" spans="1:10" x14ac:dyDescent="0.2">
      <c r="A24" s="34" t="s">
        <v>12</v>
      </c>
      <c r="B24" s="459"/>
      <c r="C24" s="549">
        <f t="shared" ref="C24:C29" si="0">IF(E11="NOT POSSIBLE","NOT POSSIBLE",($C$6/(1000*F42))^2*100)</f>
        <v>2.9726516052318672</v>
      </c>
      <c r="D24" s="550">
        <f t="shared" ref="D24:D29" si="1">IF(E11="NOT POSSIBLE","NOT POSSIBLE",($C$5+C24))</f>
        <v>22.972651605231867</v>
      </c>
      <c r="J24" s="23"/>
    </row>
    <row r="25" spans="1:10" x14ac:dyDescent="0.2">
      <c r="A25" s="34" t="s">
        <v>13</v>
      </c>
      <c r="B25" s="459"/>
      <c r="C25" s="549">
        <f t="shared" si="0"/>
        <v>2.9726516052318672</v>
      </c>
      <c r="D25" s="550">
        <f t="shared" si="1"/>
        <v>22.972651605231867</v>
      </c>
      <c r="J25" s="23"/>
    </row>
    <row r="26" spans="1:10" x14ac:dyDescent="0.2">
      <c r="A26" s="34" t="s">
        <v>14</v>
      </c>
      <c r="B26" s="459"/>
      <c r="C26" s="549">
        <f t="shared" si="0"/>
        <v>2.0408163265306123</v>
      </c>
      <c r="D26" s="550">
        <f t="shared" si="1"/>
        <v>22.040816326530614</v>
      </c>
      <c r="J26" s="23"/>
    </row>
    <row r="27" spans="1:10" x14ac:dyDescent="0.2">
      <c r="A27" s="34" t="s">
        <v>15</v>
      </c>
      <c r="B27" s="459"/>
      <c r="C27" s="549">
        <f t="shared" si="0"/>
        <v>2.0408163265306123</v>
      </c>
      <c r="D27" s="550">
        <f t="shared" si="1"/>
        <v>22.040816326530614</v>
      </c>
      <c r="J27" s="23"/>
    </row>
    <row r="28" spans="1:10" x14ac:dyDescent="0.2">
      <c r="A28" s="34" t="s">
        <v>16</v>
      </c>
      <c r="B28" s="459"/>
      <c r="C28" s="549" t="str">
        <f t="shared" si="0"/>
        <v>NOT POSSIBLE</v>
      </c>
      <c r="D28" s="550" t="str">
        <f t="shared" si="1"/>
        <v>NOT POSSIBLE</v>
      </c>
      <c r="J28" s="23"/>
    </row>
    <row r="29" spans="1:10" x14ac:dyDescent="0.2">
      <c r="A29" s="34" t="s">
        <v>569</v>
      </c>
      <c r="B29" s="459"/>
      <c r="C29" s="549" t="str">
        <f t="shared" si="0"/>
        <v>NOT POSSIBLE</v>
      </c>
      <c r="D29" s="550" t="str">
        <f t="shared" si="1"/>
        <v>NOT POSSIBLE</v>
      </c>
      <c r="J29" s="23"/>
    </row>
    <row r="30" spans="1:10" x14ac:dyDescent="0.2">
      <c r="A30" s="34" t="s">
        <v>18</v>
      </c>
      <c r="B30" s="459"/>
      <c r="C30" s="549" t="str">
        <f t="shared" ref="C30" si="2">IF(E17="NOT POSSIBLE","NOT POSSIBLE",($C$6/(1000*F48))^2*100)</f>
        <v>NOT POSSIBLE</v>
      </c>
      <c r="D30" s="550" t="str">
        <f t="shared" ref="D30" si="3">IF(E17="NOT POSSIBLE","NOT POSSIBLE",($C$5+C30))</f>
        <v>NOT POSSIBLE</v>
      </c>
      <c r="J30" s="23"/>
    </row>
    <row r="31" spans="1:10" x14ac:dyDescent="0.2">
      <c r="A31" s="34" t="s">
        <v>19</v>
      </c>
      <c r="B31" s="459"/>
      <c r="C31" s="549" t="str">
        <f>IF(E18="NOT POSSIBLE","NOT POSSIBLE",($C$6/(1000*F49))^2*100)</f>
        <v>NOT POSSIBLE</v>
      </c>
      <c r="D31" s="550" t="str">
        <f>IF(E18="NOT POSSIBLE","NOT POSSIBLE",($C$5+C31))</f>
        <v>NOT POSSIBLE</v>
      </c>
      <c r="J31" s="23"/>
    </row>
    <row r="32" spans="1:10" x14ac:dyDescent="0.2">
      <c r="A32" s="34" t="s">
        <v>20</v>
      </c>
      <c r="B32" s="459"/>
      <c r="C32" s="549" t="str">
        <f>IF(E19="NOT POSSIBLE","NOT POSSIBLE",($C$6/(1000*F50))^2*100)</f>
        <v>NOT POSSIBLE</v>
      </c>
      <c r="D32" s="550" t="str">
        <f>IF(E19="NOT POSSIBLE","NOT POSSIBLE",($C$5+C32))</f>
        <v>NOT POSSIBLE</v>
      </c>
      <c r="J32" s="23"/>
    </row>
    <row r="33" spans="1:11" ht="13.5" thickBot="1" x14ac:dyDescent="0.25">
      <c r="A33" s="467" t="s">
        <v>695</v>
      </c>
      <c r="B33" s="468"/>
      <c r="C33" s="554" t="str">
        <f>IF(E20="NOT POSSIBLE","NOT POSSIBLE",($C$6/(1000*F51))^2*100)</f>
        <v>NOT POSSIBLE</v>
      </c>
      <c r="D33" s="555" t="str">
        <f>IF(E20="NOT POSSIBLE","NOT POSSIBLE",($C$5+C33))</f>
        <v>NOT POSSIBLE</v>
      </c>
      <c r="J33" s="23"/>
    </row>
    <row r="34" spans="1:11" ht="13.5" thickTop="1" x14ac:dyDescent="0.2">
      <c r="A34" s="445"/>
      <c r="B34" s="446"/>
      <c r="J34" s="23"/>
    </row>
    <row r="35" spans="1:11" x14ac:dyDescent="0.2">
      <c r="A35" s="445"/>
      <c r="B35" s="446"/>
      <c r="J35" s="23"/>
    </row>
    <row r="36" spans="1:11" x14ac:dyDescent="0.2">
      <c r="A36" s="24"/>
      <c r="E36" s="28"/>
      <c r="J36" s="23"/>
    </row>
    <row r="37" spans="1:11" ht="13.5" thickBot="1" x14ac:dyDescent="0.25">
      <c r="A37" s="29" t="s">
        <v>64</v>
      </c>
      <c r="B37" s="30"/>
      <c r="C37" s="30"/>
      <c r="D37" s="30"/>
      <c r="E37" s="30"/>
      <c r="F37" s="30"/>
      <c r="G37" s="30"/>
      <c r="H37" s="30"/>
      <c r="I37" s="30"/>
      <c r="J37" s="31"/>
    </row>
    <row r="38" spans="1:11" ht="13.5" hidden="1" thickTop="1" x14ac:dyDescent="0.2"/>
    <row r="39" spans="1:11" s="4" customFormat="1" ht="31.5" hidden="1" customHeight="1" x14ac:dyDescent="0.4">
      <c r="A39" s="882" t="s">
        <v>11</v>
      </c>
      <c r="B39" s="882"/>
      <c r="C39" s="883"/>
      <c r="D39" s="883"/>
      <c r="E39" s="883"/>
      <c r="F39" s="883"/>
      <c r="G39" s="883"/>
      <c r="H39" s="883"/>
      <c r="I39" s="883"/>
      <c r="J39" s="883"/>
      <c r="K39" s="6"/>
    </row>
    <row r="40" spans="1:11" ht="13.5" hidden="1" thickBot="1" x14ac:dyDescent="0.25"/>
    <row r="41" spans="1:11" ht="13.5" hidden="1" thickTop="1" x14ac:dyDescent="0.2">
      <c r="A41" s="9" t="s">
        <v>0</v>
      </c>
      <c r="B41" s="52"/>
      <c r="C41" s="10" t="s">
        <v>1</v>
      </c>
      <c r="D41" s="10" t="s">
        <v>2</v>
      </c>
      <c r="E41" s="10" t="s">
        <v>3</v>
      </c>
      <c r="F41" s="10" t="s">
        <v>8</v>
      </c>
      <c r="G41" s="10" t="s">
        <v>4</v>
      </c>
      <c r="H41" s="10" t="s">
        <v>5</v>
      </c>
      <c r="I41" s="11" t="s">
        <v>6</v>
      </c>
      <c r="J41" s="12" t="s">
        <v>7</v>
      </c>
    </row>
    <row r="42" spans="1:11" hidden="1" x14ac:dyDescent="0.2">
      <c r="A42" s="13" t="s">
        <v>12</v>
      </c>
      <c r="B42" s="53"/>
      <c r="C42" s="7">
        <v>5</v>
      </c>
      <c r="D42" s="43">
        <v>272</v>
      </c>
      <c r="E42" s="444">
        <v>0.68</v>
      </c>
      <c r="F42" s="40">
        <v>2.9</v>
      </c>
      <c r="G42" s="38">
        <v>50</v>
      </c>
      <c r="H42" s="1">
        <v>600</v>
      </c>
      <c r="I42" s="2">
        <f>IF($C$6&lt;=G42-1,"UDEN FOR OMRÅDET",IF($C$6&gt;=H42+1,"UDEN FOR OMRÅDET",$C$6))</f>
        <v>500</v>
      </c>
      <c r="J42" s="14">
        <f>IF($C$5&lt;5,"UDEN FOR OMRÅDET",IF($C$5&gt;30,"UDEN FOR OMRÅDET",$C$5))</f>
        <v>20</v>
      </c>
    </row>
    <row r="43" spans="1:11" hidden="1" x14ac:dyDescent="0.2">
      <c r="A43" s="13" t="s">
        <v>13</v>
      </c>
      <c r="B43" s="53"/>
      <c r="C43" s="7">
        <v>20</v>
      </c>
      <c r="D43" s="43">
        <v>312.5</v>
      </c>
      <c r="E43" s="444">
        <v>0.40150000000000002</v>
      </c>
      <c r="F43" s="40">
        <v>2.9</v>
      </c>
      <c r="G43" s="38">
        <v>100</v>
      </c>
      <c r="H43" s="1">
        <v>1000</v>
      </c>
      <c r="I43" s="2">
        <f>IF($C$6&lt;=G43-1,"UDEN FOR OMRÅDET",IF($C$6&gt;=H43+1,"UDEN FOR OMRÅDET",$C$6))</f>
        <v>500</v>
      </c>
      <c r="J43" s="14">
        <f>IF($C$5&lt;20,"UDEN FOR OMRÅDET",IF($C$5&gt;60,"UDEN FOR OMRÅDET",$C$5))</f>
        <v>20</v>
      </c>
    </row>
    <row r="44" spans="1:11" hidden="1" x14ac:dyDescent="0.2">
      <c r="A44" s="453" t="s">
        <v>14</v>
      </c>
      <c r="B44" s="53"/>
      <c r="C44" s="7">
        <v>5</v>
      </c>
      <c r="D44" s="43">
        <v>272</v>
      </c>
      <c r="E44" s="444">
        <v>0.68</v>
      </c>
      <c r="F44" s="40">
        <v>3.5</v>
      </c>
      <c r="G44" s="38">
        <v>100</v>
      </c>
      <c r="H44" s="1">
        <v>1000</v>
      </c>
      <c r="I44" s="2">
        <f t="shared" ref="I44:I50" si="4">IF($C$6&lt;=G44-1,"UDEN FOR OMRÅDET",IF($C$6&gt;=H44+1,"UDEN FOR OMRÅDET",$C$6))</f>
        <v>500</v>
      </c>
      <c r="J44" s="14">
        <f>IF($C$5&lt;5,"UDEN FOR OMRÅDET",IF($C$5&gt;30,"UDEN FOR OMRÅDET",$C$5))</f>
        <v>20</v>
      </c>
    </row>
    <row r="45" spans="1:11" hidden="1" x14ac:dyDescent="0.2">
      <c r="A45" s="453" t="s">
        <v>15</v>
      </c>
      <c r="B45" s="53"/>
      <c r="C45" s="7">
        <v>20</v>
      </c>
      <c r="D45" s="43">
        <v>313</v>
      </c>
      <c r="E45" s="444">
        <v>0.40200000000000002</v>
      </c>
      <c r="F45" s="40">
        <v>3.5</v>
      </c>
      <c r="G45" s="38">
        <v>150</v>
      </c>
      <c r="H45" s="1">
        <v>2000</v>
      </c>
      <c r="I45" s="2">
        <f t="shared" si="4"/>
        <v>500</v>
      </c>
      <c r="J45" s="14">
        <f>IF($C$5&lt;20,"UDEN FOR OMRÅDET",IF($C$5&gt;60,"UDEN FOR OMRÅDET",$C$5))</f>
        <v>20</v>
      </c>
    </row>
    <row r="46" spans="1:11" hidden="1" x14ac:dyDescent="0.2">
      <c r="A46" s="453" t="s">
        <v>16</v>
      </c>
      <c r="B46" s="53"/>
      <c r="C46" s="7">
        <v>5</v>
      </c>
      <c r="D46" s="43">
        <v>322</v>
      </c>
      <c r="E46" s="444">
        <v>0.61199999999999999</v>
      </c>
      <c r="F46" s="40">
        <v>4</v>
      </c>
      <c r="G46" s="38">
        <v>600</v>
      </c>
      <c r="H46" s="1">
        <v>2100</v>
      </c>
      <c r="I46" s="2" t="str">
        <f t="shared" si="4"/>
        <v>UDEN FOR OMRÅDET</v>
      </c>
      <c r="J46" s="14">
        <f>IF($C$5&lt;5,"UDEN FOR OMRÅDET",IF($C$5&gt;30,"UDEN FOR OMRÅDET",$C$5))</f>
        <v>20</v>
      </c>
    </row>
    <row r="47" spans="1:11" hidden="1" x14ac:dyDescent="0.2">
      <c r="A47" s="453" t="s">
        <v>569</v>
      </c>
      <c r="B47" s="53"/>
      <c r="C47" s="7">
        <v>20</v>
      </c>
      <c r="D47" s="43">
        <v>1180</v>
      </c>
      <c r="E47" s="444">
        <v>0.28499999999999998</v>
      </c>
      <c r="F47" s="40">
        <v>8.6999999999999993</v>
      </c>
      <c r="G47" s="38">
        <v>750</v>
      </c>
      <c r="H47" s="1">
        <v>4200</v>
      </c>
      <c r="I47" s="2" t="str">
        <f t="shared" si="4"/>
        <v>UDEN FOR OMRÅDET</v>
      </c>
      <c r="J47" s="14">
        <f>IF($C$5&lt;20,"UDEN FOR OMRÅDET",IF($C$5&gt;80,"UDEN FOR OMRÅDET",$C$5))</f>
        <v>20</v>
      </c>
    </row>
    <row r="48" spans="1:11" hidden="1" x14ac:dyDescent="0.2">
      <c r="A48" s="453" t="s">
        <v>18</v>
      </c>
      <c r="B48" s="53"/>
      <c r="C48" s="7">
        <v>20</v>
      </c>
      <c r="D48" s="43">
        <v>1201</v>
      </c>
      <c r="E48" s="444">
        <v>0.27500000000000002</v>
      </c>
      <c r="F48" s="40">
        <v>10.1</v>
      </c>
      <c r="G48" s="38">
        <v>1000</v>
      </c>
      <c r="H48" s="1">
        <v>5000</v>
      </c>
      <c r="I48" s="2" t="str">
        <f t="shared" si="4"/>
        <v>UDEN FOR OMRÅDET</v>
      </c>
      <c r="J48" s="14">
        <f>IF($C$5&lt;20,"UDEN FOR OMRÅDET",IF($C$5&gt;80,"UDEN FOR OMRÅDET",$C$5))</f>
        <v>20</v>
      </c>
    </row>
    <row r="49" spans="1:10" hidden="1" x14ac:dyDescent="0.2">
      <c r="A49" s="453" t="s">
        <v>19</v>
      </c>
      <c r="B49" s="53"/>
      <c r="C49" s="60">
        <v>20</v>
      </c>
      <c r="D49" s="43">
        <v>2411</v>
      </c>
      <c r="E49" s="444">
        <v>0.29899999999999999</v>
      </c>
      <c r="F49" s="40">
        <v>15.8</v>
      </c>
      <c r="G49" s="520">
        <v>3000</v>
      </c>
      <c r="H49" s="1">
        <v>8000</v>
      </c>
      <c r="I49" s="2" t="str">
        <f t="shared" si="4"/>
        <v>UDEN FOR OMRÅDET</v>
      </c>
      <c r="J49" s="14">
        <f>IF($C$5&lt;20,"UDEN FOR OMRÅDET",IF($C$5&gt;80,"UDEN FOR OMRÅDET",$C$5))</f>
        <v>20</v>
      </c>
    </row>
    <row r="50" spans="1:10" hidden="1" x14ac:dyDescent="0.2">
      <c r="A50" s="453" t="s">
        <v>20</v>
      </c>
      <c r="B50" s="53"/>
      <c r="C50" s="60">
        <v>20</v>
      </c>
      <c r="D50" s="43">
        <v>1547</v>
      </c>
      <c r="E50" s="444">
        <v>0.23</v>
      </c>
      <c r="F50" s="40">
        <v>16.2</v>
      </c>
      <c r="G50" s="520">
        <v>5000</v>
      </c>
      <c r="H50" s="1">
        <v>11500</v>
      </c>
      <c r="I50" s="2" t="str">
        <f t="shared" si="4"/>
        <v>UDEN FOR OMRÅDET</v>
      </c>
      <c r="J50" s="14">
        <f>IF($C$5&lt;20,"UDEN FOR OMRÅDET",IF($C$5&gt;80,"UDEN FOR OMRÅDET",$C$5))</f>
        <v>20</v>
      </c>
    </row>
    <row r="51" spans="1:10" hidden="1" x14ac:dyDescent="0.2">
      <c r="A51" s="453" t="s">
        <v>695</v>
      </c>
      <c r="B51" s="53"/>
      <c r="C51" s="60">
        <v>12.5</v>
      </c>
      <c r="D51" s="43">
        <v>2029</v>
      </c>
      <c r="E51" s="444">
        <v>0.22</v>
      </c>
      <c r="F51" s="40">
        <v>18.600000000000001</v>
      </c>
      <c r="G51" s="520">
        <v>3200</v>
      </c>
      <c r="H51" s="1">
        <v>13000</v>
      </c>
      <c r="I51" s="2" t="str">
        <f t="shared" ref="I51" si="5">IF($C$6&lt;=G51-1,"UDEN FOR OMRÅDET",IF($C$6&gt;=H51+1,"UDEN FOR OMRÅDET",$C$6))</f>
        <v>UDEN FOR OMRÅDET</v>
      </c>
      <c r="J51" s="14">
        <f>IF($C$5&lt;20,"UDEN FOR OMRÅDET",IF($C$5&gt;80,"UDEN FOR OMRÅDET",$C$5))</f>
        <v>20</v>
      </c>
    </row>
    <row r="52" spans="1:10" hidden="1" x14ac:dyDescent="0.2">
      <c r="A52" s="607"/>
      <c r="B52" s="607"/>
      <c r="C52" s="608" t="s">
        <v>700</v>
      </c>
      <c r="D52" s="608" t="s">
        <v>698</v>
      </c>
      <c r="E52" s="608" t="s">
        <v>699</v>
      </c>
      <c r="F52" s="607"/>
      <c r="G52" s="607"/>
      <c r="H52" s="607"/>
      <c r="I52" s="607"/>
      <c r="J52" s="607"/>
    </row>
    <row r="53" spans="1:10" hidden="1" x14ac:dyDescent="0.2">
      <c r="A53" s="607"/>
      <c r="B53" s="607"/>
      <c r="C53" s="607"/>
      <c r="D53" s="607"/>
      <c r="E53" s="607"/>
      <c r="F53" s="607"/>
      <c r="G53" s="607"/>
      <c r="H53" s="607"/>
      <c r="I53" s="607"/>
      <c r="J53" s="607"/>
    </row>
    <row r="54" spans="1:10" ht="13.5" thickTop="1" x14ac:dyDescent="0.2">
      <c r="A54" s="607"/>
      <c r="B54" s="607"/>
      <c r="C54" s="607"/>
      <c r="D54" s="607"/>
      <c r="E54" s="607"/>
      <c r="F54" s="607"/>
      <c r="G54" s="607"/>
      <c r="H54" s="607"/>
      <c r="I54" s="607"/>
      <c r="J54" s="607"/>
    </row>
    <row r="55" spans="1:10" x14ac:dyDescent="0.2">
      <c r="A55" s="607"/>
      <c r="B55" s="607"/>
      <c r="C55" s="607"/>
      <c r="D55" s="607"/>
      <c r="E55" s="607"/>
      <c r="F55" s="607"/>
      <c r="G55" s="607"/>
      <c r="H55" s="607"/>
      <c r="I55" s="607"/>
      <c r="J55" s="607"/>
    </row>
    <row r="56" spans="1:10" x14ac:dyDescent="0.2">
      <c r="A56" s="607"/>
      <c r="B56" s="607"/>
      <c r="C56" s="607"/>
      <c r="D56" s="607"/>
      <c r="E56" s="607"/>
      <c r="F56" s="607"/>
      <c r="G56" s="607"/>
      <c r="H56" s="607"/>
      <c r="I56" s="607"/>
      <c r="J56" s="607"/>
    </row>
    <row r="57" spans="1:10" x14ac:dyDescent="0.2">
      <c r="A57" s="607"/>
      <c r="B57" s="607"/>
      <c r="C57" s="607"/>
      <c r="D57" s="607"/>
      <c r="E57" s="607"/>
      <c r="F57" s="607"/>
      <c r="G57" s="607"/>
      <c r="H57" s="607"/>
      <c r="I57" s="607"/>
      <c r="J57" s="607"/>
    </row>
  </sheetData>
  <sheetProtection sheet="1" objects="1" scenarios="1"/>
  <mergeCells count="7">
    <mergeCell ref="A1:J1"/>
    <mergeCell ref="A39:J39"/>
    <mergeCell ref="A2:J2"/>
    <mergeCell ref="A9:A10"/>
    <mergeCell ref="B9:B10"/>
    <mergeCell ref="C9:D9"/>
    <mergeCell ref="A22:D22"/>
  </mergeCells>
  <phoneticPr fontId="42" type="noConversion"/>
  <pageMargins left="1.5748031496062993" right="0.78740157480314965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62"/>
  <sheetViews>
    <sheetView showGridLines="0" zoomScaleNormal="100" workbookViewId="0">
      <selection activeCell="W12" sqref="W12"/>
    </sheetView>
  </sheetViews>
  <sheetFormatPr defaultColWidth="8.85546875" defaultRowHeight="12.75" x14ac:dyDescent="0.2"/>
  <cols>
    <col min="1" max="2" width="16.28515625" customWidth="1"/>
    <col min="3" max="3" width="15.7109375" customWidth="1"/>
    <col min="4" max="4" width="16.7109375" customWidth="1"/>
    <col min="5" max="6" width="16.7109375" hidden="1" customWidth="1"/>
    <col min="7" max="7" width="20.7109375" customWidth="1"/>
    <col min="8" max="10" width="15.7109375" customWidth="1"/>
    <col min="11" max="11" width="9.140625" hidden="1" customWidth="1"/>
    <col min="12" max="12" width="14.42578125" hidden="1" customWidth="1"/>
    <col min="13" max="13" width="16" hidden="1" customWidth="1"/>
    <col min="14" max="15" width="20.28515625" hidden="1" customWidth="1"/>
    <col min="16" max="21" width="9.140625" hidden="1" customWidth="1"/>
  </cols>
  <sheetData>
    <row r="1" spans="1:20" ht="21" thickTop="1" x14ac:dyDescent="0.3">
      <c r="A1" s="880" t="s">
        <v>164</v>
      </c>
      <c r="B1" s="881"/>
      <c r="C1" s="881"/>
      <c r="D1" s="881"/>
      <c r="E1" s="881"/>
      <c r="F1" s="881"/>
      <c r="G1" s="881"/>
      <c r="H1" s="881"/>
      <c r="I1" s="881"/>
      <c r="J1" s="892"/>
      <c r="K1" s="5"/>
      <c r="L1" s="880" t="s">
        <v>65</v>
      </c>
      <c r="M1" s="881"/>
      <c r="N1" s="881"/>
      <c r="O1" s="881"/>
      <c r="P1" s="881"/>
      <c r="Q1" s="881"/>
      <c r="R1" s="881"/>
      <c r="S1" s="881"/>
      <c r="T1" s="892"/>
    </row>
    <row r="2" spans="1:20" ht="21" thickBot="1" x14ac:dyDescent="0.35">
      <c r="A2" s="889" t="s">
        <v>853</v>
      </c>
      <c r="B2" s="890"/>
      <c r="C2" s="890"/>
      <c r="D2" s="890"/>
      <c r="E2" s="890"/>
      <c r="F2" s="890"/>
      <c r="G2" s="890"/>
      <c r="H2" s="890"/>
      <c r="I2" s="890"/>
      <c r="J2" s="891"/>
      <c r="K2" s="5"/>
      <c r="L2" s="889" t="s">
        <v>116</v>
      </c>
      <c r="M2" s="890"/>
      <c r="N2" s="890"/>
      <c r="O2" s="890"/>
      <c r="P2" s="890"/>
      <c r="Q2" s="890"/>
      <c r="R2" s="890"/>
      <c r="S2" s="890"/>
      <c r="T2" s="891"/>
    </row>
    <row r="3" spans="1:20" ht="13.5" thickTop="1" x14ac:dyDescent="0.2">
      <c r="A3" s="20"/>
      <c r="B3" s="21"/>
      <c r="C3" s="21"/>
      <c r="D3" s="21"/>
      <c r="E3" s="21"/>
      <c r="F3" s="21"/>
      <c r="G3" s="21"/>
      <c r="H3" s="21"/>
      <c r="I3" s="21"/>
      <c r="J3" s="22"/>
      <c r="L3" s="20"/>
      <c r="M3" s="21"/>
      <c r="N3" s="21"/>
      <c r="O3" s="21"/>
      <c r="P3" s="21"/>
      <c r="Q3" s="21"/>
      <c r="R3" s="21"/>
      <c r="S3" s="21"/>
      <c r="T3" s="22"/>
    </row>
    <row r="4" spans="1:20" ht="13.5" thickBot="1" x14ac:dyDescent="0.25">
      <c r="A4" s="24"/>
      <c r="B4" s="19" t="s">
        <v>25</v>
      </c>
      <c r="D4" s="25"/>
      <c r="J4" s="23"/>
      <c r="L4" s="24"/>
      <c r="M4" s="19" t="s">
        <v>10</v>
      </c>
      <c r="O4" s="25"/>
      <c r="T4" s="23"/>
    </row>
    <row r="5" spans="1:20" ht="13.5" thickBot="1" x14ac:dyDescent="0.25">
      <c r="A5" s="32" t="s">
        <v>30</v>
      </c>
      <c r="B5" s="441">
        <v>10</v>
      </c>
      <c r="C5" s="26" t="s">
        <v>151</v>
      </c>
      <c r="J5" s="23"/>
      <c r="L5" s="32" t="s">
        <v>66</v>
      </c>
      <c r="M5" s="33">
        <v>20</v>
      </c>
      <c r="N5" s="26" t="s">
        <v>67</v>
      </c>
      <c r="T5" s="23"/>
    </row>
    <row r="6" spans="1:20" ht="13.5" thickBot="1" x14ac:dyDescent="0.25">
      <c r="A6" s="32" t="s">
        <v>117</v>
      </c>
      <c r="B6" s="441">
        <v>1200</v>
      </c>
      <c r="C6" s="26" t="s">
        <v>118</v>
      </c>
      <c r="F6" s="25"/>
      <c r="J6" s="23"/>
      <c r="L6" s="32" t="s">
        <v>9</v>
      </c>
      <c r="M6" s="33">
        <v>25</v>
      </c>
      <c r="N6" s="26" t="s">
        <v>119</v>
      </c>
      <c r="O6" s="25" t="s">
        <v>120</v>
      </c>
      <c r="Q6" s="25"/>
      <c r="T6" s="23"/>
    </row>
    <row r="7" spans="1:20" ht="13.5" thickBot="1" x14ac:dyDescent="0.25">
      <c r="A7" s="24"/>
      <c r="F7" s="25"/>
      <c r="J7" s="23"/>
      <c r="L7" s="24"/>
      <c r="Q7" s="25"/>
      <c r="T7" s="23"/>
    </row>
    <row r="8" spans="1:20" ht="14.25" thickTop="1" thickBot="1" x14ac:dyDescent="0.25">
      <c r="A8" s="926" t="s">
        <v>152</v>
      </c>
      <c r="B8" s="927"/>
      <c r="C8" s="928" t="s">
        <v>153</v>
      </c>
      <c r="D8" s="929"/>
      <c r="E8" s="72"/>
      <c r="F8" s="104"/>
      <c r="G8" s="105" t="s">
        <v>137</v>
      </c>
      <c r="H8" s="19"/>
      <c r="J8" s="23"/>
      <c r="L8" s="24"/>
      <c r="T8" s="23"/>
    </row>
    <row r="9" spans="1:20" ht="13.5" thickTop="1" x14ac:dyDescent="0.2">
      <c r="A9" s="916" t="s">
        <v>121</v>
      </c>
      <c r="B9" s="917"/>
      <c r="C9" s="913" t="s">
        <v>122</v>
      </c>
      <c r="D9" s="914"/>
      <c r="E9" s="914"/>
      <c r="F9" s="915"/>
      <c r="G9" s="106" t="s">
        <v>123</v>
      </c>
      <c r="H9" s="19"/>
      <c r="J9" s="23"/>
      <c r="T9" s="23"/>
    </row>
    <row r="10" spans="1:20" x14ac:dyDescent="0.2">
      <c r="A10" s="73" t="s">
        <v>24</v>
      </c>
      <c r="B10" s="440" t="s">
        <v>26</v>
      </c>
      <c r="C10" s="107" t="s">
        <v>24</v>
      </c>
      <c r="D10" s="74" t="s">
        <v>62</v>
      </c>
      <c r="E10" s="74" t="s">
        <v>71</v>
      </c>
      <c r="F10" s="108" t="s">
        <v>72</v>
      </c>
      <c r="G10" s="109" t="s">
        <v>29</v>
      </c>
      <c r="H10" s="19"/>
      <c r="J10" s="23"/>
      <c r="T10" s="23"/>
    </row>
    <row r="11" spans="1:20" x14ac:dyDescent="0.2">
      <c r="A11" s="73" t="s">
        <v>12</v>
      </c>
      <c r="B11" s="548" t="str">
        <f>IF(I48="UDEN FOR OMRÅDET","NOT POSSIBLE",IF(J48="UDEN FOR OMRÅDET","NOT POSSIBLE",(1.86+(($B$5-B48)*D48)+($B$6/C48))))</f>
        <v>NOT POSSIBLE</v>
      </c>
      <c r="C11" s="110" t="s">
        <v>73</v>
      </c>
      <c r="D11" s="549" t="str">
        <f>IF(S48="UDEN FOR OMRÅDET","NOT POSSIBLE",IF(T48="UDEN FOR OMRÅDET","NOT POSSIBLE",(-1.416859E-16*B6^6+0.0000000000004973587*B6^5-0.0000000006302845*B6^4+0.0000003677696*B6^3-0.0001030106*B6^2+0.02421216*B6+0.4984559)))</f>
        <v>NOT POSSIBLE</v>
      </c>
      <c r="E11" s="35" t="e">
        <f>-0.0001914848*D11^5+0.0053285439*D11^4-0.054883786*D11^3+0.2534175671*D11^2-0.2481945056*D11+0.1333828468</f>
        <v>#VALUE!</v>
      </c>
      <c r="F11" s="111" t="str">
        <f>IF(S48="UDEN FOR OMRÅDET","NICHT MÖGLICH",IF(B6&lt;50,8,(((($B$6/1000)/E11)^2)*100)))</f>
        <v>NICHT MÖGLICH</v>
      </c>
      <c r="G11" s="570" t="str">
        <f>IF(B11="NOT POSSIBLE","NOT POSSIBLE",IF(D11="NOT POSSIBLE","NOT POSSIBLE",($B$5+F21+F11)))</f>
        <v>NOT POSSIBLE</v>
      </c>
      <c r="H11" s="58"/>
      <c r="J11" s="23"/>
      <c r="T11" s="23"/>
    </row>
    <row r="12" spans="1:20" x14ac:dyDescent="0.2">
      <c r="A12" s="73" t="s">
        <v>13</v>
      </c>
      <c r="B12" s="548" t="str">
        <f>IF(I49="UDEN FOR OMRÅDET","NOT POSSIBLE",IF(J49="UDEN FOR OMRÅDET","NOT POSSIBLE",(1.9+(($B$5-B49)*D49)+($B$6/C49))))</f>
        <v>NOT POSSIBLE</v>
      </c>
      <c r="C12" s="110" t="s">
        <v>76</v>
      </c>
      <c r="D12" s="549" t="str">
        <f>IF(S49="UDEN FOR OMRÅDET","NOT POSSIBLE",IF(T49="UDEN FOR OMRÅDET","NOT POSSIBLE",(-8.370525E-18*B6^6+4.595217E-14*B6^5-0.00000000008196175*B6^4+0.00000006465865*B6^3-0.00002581107*B6^2+0.01404484*B6+0.4946178)))</f>
        <v>NOT POSSIBLE</v>
      </c>
      <c r="E12" s="35" t="e">
        <f>-0.0001313737*D12^5+0.0033025825*D12^4-0.030488192*D12^3+0.130530682*D12^2-0.0056293818*D12+0.0026799239</f>
        <v>#VALUE!</v>
      </c>
      <c r="F12" s="111" t="str">
        <f>IF(S49="UDEN FOR OMRÅDET","NICHT MÖGLICH",IF(B6&lt;55,16,(((($B$6/1000)/E12)^2)*100)))</f>
        <v>NICHT MÖGLICH</v>
      </c>
      <c r="G12" s="570" t="str">
        <f>IF(B12="NOT POSSIBLE","NOT POSSIBLE",IF(D12="NOT POSSIBLE","NOT POSSIBLE",($B$5+F22+F12)))</f>
        <v>NOT POSSIBLE</v>
      </c>
      <c r="H12" s="58"/>
      <c r="J12" s="23"/>
      <c r="T12" s="23"/>
    </row>
    <row r="13" spans="1:20" x14ac:dyDescent="0.2">
      <c r="A13" s="73" t="s">
        <v>21</v>
      </c>
      <c r="B13" s="548" t="str">
        <f>IF(I50="UDEN FOR OMRÅDET","NOT POSSIBLE",IF(J50="UDEN FOR OMRÅDET","NOT POSSIBLE",(1.8+(($B$5-B50)*D50)+($B$6/C50))))</f>
        <v>NOT POSSIBLE</v>
      </c>
      <c r="C13" s="110" t="s">
        <v>79</v>
      </c>
      <c r="D13" s="549">
        <f>IF(S50="UDEN FOR OMRÅDET","NOT POSSIBLE",IF(T50="UDEN FOR OMRÅDET","NOT POSSIBLE",(1.282055E-17*B6^6-3.215346E-14*B6^5+0.00000000001758545*B6^4+0.00000001342106*B6^3-0.00001618215*B6^2+0.01146886*B6+0.6190952)))</f>
        <v>9.0100715840000039</v>
      </c>
      <c r="E13" s="35">
        <f>-0.0002922512*D13^5+0.0079441211*D13^4-0.081093891*D13^3+0.3716534766*D13^2-0.315676037*D13+0.1555909698</f>
        <v>3.1676981043788439</v>
      </c>
      <c r="F13" s="111">
        <f>IF(S50="UDEN FOR OMRÅDET","NICHT MÖGLICH",IF(B6&lt;65,9,(((($B$6/1000)/E13)^2)*100)))</f>
        <v>14.350760702436096</v>
      </c>
      <c r="G13" s="570" t="str">
        <f>IF(B13="NOT POSSIBLE","NOT POSSIBLE",IF(D13="NOT POSSIBLE","NOT POSSIBLE",($B$5+F22+F13)))</f>
        <v>NOT POSSIBLE</v>
      </c>
      <c r="H13" s="58"/>
      <c r="J13" s="23"/>
      <c r="T13" s="23"/>
    </row>
    <row r="14" spans="1:20" x14ac:dyDescent="0.2">
      <c r="A14" s="73" t="s">
        <v>22</v>
      </c>
      <c r="B14" s="548" t="str">
        <f>IF(I51="UDEN FOR OMRÅDET","NOT POSSIBLE",IF(J51="UDEN FOR OMRÅDET","NOT POSSIBLE",(1.8+(($B$5-B51)*D51)+($B$6/C51))))</f>
        <v>NOT POSSIBLE</v>
      </c>
      <c r="C14" s="110" t="s">
        <v>82</v>
      </c>
      <c r="D14" s="549">
        <f>IF(S51="UDEN FOR OMRÅDET","NOT POSSIBLE",IF(T51="UDEN FOR OMRÅDET","NOT POSSIBLE",(4.558531E-19*B6^6-2.754187E-16*B6^5-0.000000000004851288*B6^4+0.00000001154931*B6^3-0.0000104237*B6^2+0.008926086*B6+0.5092975)))</f>
        <v>6.783889786566399</v>
      </c>
      <c r="E14" s="35">
        <f>-0.0002702024*D14^5+0.0070152744*D14^4-0.0684282308*D14^3+0.303994227*D14^2-0.158105984*D14+0.1037020483</f>
        <v>2.6335665035817084</v>
      </c>
      <c r="F14" s="111">
        <f>IF(S51="UDEN FOR OMRÅDET","NICHT MÖGLICH",IF(B6&lt;88,12,(((($B$6/1000)/E14)^2)*100)))</f>
        <v>20.762225927234258</v>
      </c>
      <c r="G14" s="570" t="str">
        <f>IF(B14="NOT POSSIBLE","NOT POSSIBLE",IF(D14="NOT POSSIBLE","NOT POSSIBLE",($B$5+F24+F14)))</f>
        <v>NOT POSSIBLE</v>
      </c>
      <c r="H14" s="58"/>
      <c r="J14" s="23"/>
      <c r="T14" s="23"/>
    </row>
    <row r="15" spans="1:20" x14ac:dyDescent="0.2">
      <c r="A15" s="73" t="s">
        <v>16</v>
      </c>
      <c r="B15" s="548">
        <f>IF(I52="UDEN FOR OMRÅDET","NOT POSSIBLE",IF(J52="UDEN FOR OMRÅDET","NOT POSSIBLE",(1.2+(($B$5-B52)*D52)+($B$6/C52))))</f>
        <v>8.9950476546439919</v>
      </c>
      <c r="C15" s="110" t="s">
        <v>85</v>
      </c>
      <c r="D15" s="549">
        <f>IF(S52="UDEN FOR OMRÅDET","NOT POSSIBLE",IF(T52="UDEN FOR OMRÅDET","NOT POSSIBLE",(5.301715E-18*B6^6-2.338106E-14*B6^5+0.00000000003790071*B6^4-0.00000002608803*B6^3+0.00000547309*B6^2+0.005587611*B6+0.6916941)))</f>
        <v>6.4401502593600091</v>
      </c>
      <c r="E15" s="35">
        <f>-0.0001250173*D15^5+0.0038019997*D15^4-0.0461407467*D15^3+0.2422158614*D15^2+0.0516844959*D15-0.0473246139</f>
        <v>3.1622448508485328</v>
      </c>
      <c r="F15" s="111">
        <f>IF(S52="UDEN FOR OMRÅDET","NICHT MÖGLICH",IF(B6&lt;72,9,(((($B$6/1000)/E15)^2)*100)))</f>
        <v>14.400298810926419</v>
      </c>
      <c r="G15" s="570">
        <f>IF(B15="NOT POSSIBLE","NOT POSSIBLE",IF(D15="NOT POSSIBLE","NOT POSSIBLE",($B$5+F23+F15)))</f>
        <v>25.995866677962432</v>
      </c>
      <c r="H15" s="58"/>
      <c r="J15" s="23"/>
      <c r="T15" s="23"/>
    </row>
    <row r="16" spans="1:20" x14ac:dyDescent="0.2">
      <c r="A16" s="73" t="s">
        <v>17</v>
      </c>
      <c r="B16" s="548" t="str">
        <f>IF(I53="UDEN FOR OMRÅDET","NOT POSSIBLE",IF(J53="UDEN FOR OMRÅDET","NOT POSSIBLE",(1.5+(($B$5-B53)*D53)+($B$6/C53))))</f>
        <v>NOT POSSIBLE</v>
      </c>
      <c r="C16" s="110" t="s">
        <v>87</v>
      </c>
      <c r="D16" s="549">
        <f>IF(S53="UDEN FOR OMRÅDET","NOT POSSIBLE",IF(T53="UDEN FOR OMRÅDET","NOT POSSIBLE",(5.707474E-19*B6^6-3.439083E-15*B6^5+0.000000000007387863*B6^4-0.000000006100564*B6^3+0.0000003601231*B6^2+0.004834756*B6+0.6250701)))</f>
        <v>4.8697562826815997</v>
      </c>
      <c r="E16" s="35">
        <f>-0.0001720525*D16^5+0.0050695668*D16^4-0.0602406174*D16^3+0.3152398884*D16^2-0.0451710556*D16+0.0404546674</f>
        <v>2.7192475236579186</v>
      </c>
      <c r="F16" s="111">
        <f>IF(S53="UDEN FOR OMRÅDET","NICHT MÖGLICH",IF(B6&lt;120,12,(((($B$6/1000)/E16)^2)*100)))</f>
        <v>19.474441371110427</v>
      </c>
      <c r="G16" s="570" t="str">
        <f>IF(B16="NOT POSSIBLE","NOT POSSIBLE",IF(D16="NOT POSSIBLE","NOT POSSIBLE",($B$5+F26+F16)))</f>
        <v>NOT POSSIBLE</v>
      </c>
      <c r="J16" s="23"/>
      <c r="T16" s="23"/>
    </row>
    <row r="17" spans="1:20" x14ac:dyDescent="0.2">
      <c r="A17" s="73" t="s">
        <v>18</v>
      </c>
      <c r="B17" s="548" t="str">
        <f>IF(I54="UDEN FOR OMRÅDET","NOT POSSIBLE",IF(J54="UDEN FOR OMRÅDET","NOT POSSIBLE",(1.2+(($B$5-B54)*D54)+($B$6/C54))))</f>
        <v>NOT POSSIBLE</v>
      </c>
      <c r="C17" s="110" t="s">
        <v>138</v>
      </c>
      <c r="D17" s="549">
        <f>IF(S54="UDEN FOR OMRÅDET","NOT POSSIBLE",IF(T54="UDEN FOR OMRÅDET","NOT POSSIBLE",(9.688725E-21*B6^6-1.260236E-16*B6^5+0.0000000000006151922*B6^4-0.000000001374114*B6^3+0.000001309833*B6^2+0.001458119*B6+0.6703696)))</f>
        <v>2.9228088073984004</v>
      </c>
      <c r="E17" s="35">
        <f xml:space="preserve"> -0.0002207819*D17^5+0.0048575488*D17^4-0.042801013*D17^3+0.1612668541*D17^2+0.9429656517*D17-0.4890993807</f>
        <v>2.8833906658725916</v>
      </c>
      <c r="F17" s="111">
        <f>IF(S54="UDEN FOR OMRÅDET","NICHT MÖGLICH",IF(B6&lt;300,14,(((($B$6/1000)/E17)^2)*100)))</f>
        <v>17.320304212024592</v>
      </c>
      <c r="G17" s="570" t="str">
        <f>IF(B17="NOT POSSIBLE","NOT POSSIBLE",IF(D17="NOT POSSIBLE","NOT POSSIBLE",($B$5+F24+F17)))</f>
        <v>NOT POSSIBLE</v>
      </c>
      <c r="H17" s="58"/>
      <c r="J17" s="23"/>
      <c r="T17" s="23"/>
    </row>
    <row r="18" spans="1:20" x14ac:dyDescent="0.2">
      <c r="A18" s="73" t="s">
        <v>19</v>
      </c>
      <c r="B18" s="548" t="str">
        <f>IF(I55="UDEN FOR OMRÅDET","NOT POSSIBLE",IF(J55="UDEN FOR OMRÅDET","NOT POSSIBLE",(0.6+(($B$5-B55)*D55)+($B$6/C55))))</f>
        <v>NOT POSSIBLE</v>
      </c>
      <c r="C18" s="110" t="s">
        <v>139</v>
      </c>
      <c r="D18" s="549">
        <f>IF(S55="UDEN FOR OMRÅDET","NOT POSSIBLE",IF(T55="UDEN FOR OMRÅDET","NOT POSSIBLE",(2.890134E-22*B6^6-4.367951E-18*B6^5+1.580866E-14*B6^4+0.0000000000465504*B6^3-0.0000003855707*B6^2+0.001792376*B6+0.7499365)))</f>
        <v>2.4487799501318657</v>
      </c>
      <c r="E18" s="35">
        <f>-0.0012675993*D18^5+0.0341544632*D18^4-0.344969967*D18^3+1.5414329114*D18^2-1.1127621642*D18+0.3349824205</f>
        <v>2.9042338152531664</v>
      </c>
      <c r="F18" s="111">
        <f>IF(S55="UDEN FOR OMRÅDET","NICHT MÖGLICH",IF(B6&lt;275,15,(((($B$6/1000)/E18)^2)*100)))</f>
        <v>17.072587078361707</v>
      </c>
      <c r="G18" s="570" t="str">
        <f>IF(B18="NOT POSSIBLE","NOT POSSIBLE",IF(D18="NOT POSSIBLE","NOT POSSIBLE",($B$5+F25+F18)))</f>
        <v>NOT POSSIBLE</v>
      </c>
      <c r="H18" s="58"/>
      <c r="J18" s="23"/>
      <c r="T18" s="23"/>
    </row>
    <row r="19" spans="1:20" ht="13.5" thickBot="1" x14ac:dyDescent="0.25">
      <c r="A19" s="75" t="s">
        <v>20</v>
      </c>
      <c r="B19" s="569" t="str">
        <f>IF(I56="UDEN FOR OMRÅDET","NOT POSSIBLE",IF(J56="UDEN FOR OMRÅDET","NOT POSSIBLE",(-0.4+(($B$5-B56)*D56)+($B$6/C56))))</f>
        <v>NOT POSSIBLE</v>
      </c>
      <c r="C19" s="112" t="s">
        <v>140</v>
      </c>
      <c r="D19" s="554">
        <f>IF(S56="UDEN FOR OMRÅDET","NOT POSSIBLE",IF(T56="UDEN FOR OMRÅDET","NOT POSSIBLE",(9.139688E-23*B6^6-2.57758E-18*B6^5+2.726717E-14*B6^4-0.0000000001313964*B6^3+0.0000002746298*B6^2+0.0006078528*B6+0.721324)))</f>
        <v>1.66956156226773</v>
      </c>
      <c r="E19" s="37">
        <f>-0.000196373*D19^5+0.0050851175*D19^4-0.0540651414*D19^3+0.1694730368*D19^2+2.4082032907*D19-1.4693911114</f>
        <v>2.8090025831667411</v>
      </c>
      <c r="F19" s="113">
        <f>IF(S56="UDEN FOR OMRÅDET","NICHT MÖGLICH",IF(B6&lt;670,17,(((($B$6/1000)/E19)^2)*100)))</f>
        <v>18.249804435813871</v>
      </c>
      <c r="G19" s="571" t="str">
        <f>IF(B19="NOT POSSIBLE","NOT POSSIBLE",IF(D19="NOT POSSIBLE","NOT POSSIBLE",($B$5+F26+F19)))</f>
        <v>NOT POSSIBLE</v>
      </c>
      <c r="H19" s="58"/>
      <c r="J19" s="23"/>
      <c r="T19" s="23"/>
    </row>
    <row r="20" spans="1:20" ht="13.5" thickTop="1" x14ac:dyDescent="0.2">
      <c r="A20" s="24"/>
      <c r="C20" s="27"/>
      <c r="F20" s="35" t="s">
        <v>27</v>
      </c>
      <c r="J20" s="23"/>
      <c r="L20" s="24"/>
      <c r="N20" s="27"/>
      <c r="T20" s="23"/>
    </row>
    <row r="21" spans="1:20" x14ac:dyDescent="0.2">
      <c r="A21" s="922"/>
      <c r="B21" s="923"/>
      <c r="C21" s="25"/>
      <c r="D21" s="25"/>
      <c r="F21" s="35" t="str">
        <f>IF(B11="NOT POSSIBLE","NOT POSSIBLE",($B$6/(1000*E48))^2*100)</f>
        <v>NOT POSSIBLE</v>
      </c>
      <c r="J21" s="23"/>
      <c r="L21" s="24"/>
      <c r="N21" s="25"/>
      <c r="O21" s="25"/>
      <c r="T21" s="23"/>
    </row>
    <row r="22" spans="1:20" x14ac:dyDescent="0.2">
      <c r="A22" s="32"/>
      <c r="F22" s="35" t="str">
        <f>IF(B13="NOT POSSIBLE","NOT POSSIBLE",($B$6/(1000*E50))^2*100)</f>
        <v>NOT POSSIBLE</v>
      </c>
      <c r="J22" s="23"/>
      <c r="L22" s="24"/>
      <c r="N22" s="19"/>
      <c r="T22" s="23"/>
    </row>
    <row r="23" spans="1:20" x14ac:dyDescent="0.2">
      <c r="A23" s="76"/>
      <c r="F23" s="35">
        <f>IF(B15="NOT POSSIBLE","NOT POSSIBLE",($B$6/(1000*E52))^2*100)</f>
        <v>1.5955678670360112</v>
      </c>
      <c r="J23" s="23"/>
      <c r="L23" s="24"/>
      <c r="N23" s="58"/>
      <c r="T23" s="23"/>
    </row>
    <row r="24" spans="1:20" x14ac:dyDescent="0.2">
      <c r="A24" s="76"/>
      <c r="F24" s="35" t="str">
        <f>IF(B17="NOT POSSIBLE","NOT POSSIBLE",($B$6/(1000*E54))^2*100)</f>
        <v>NOT POSSIBLE</v>
      </c>
      <c r="J24" s="23"/>
      <c r="L24" s="24"/>
      <c r="N24" s="58"/>
      <c r="T24" s="23"/>
    </row>
    <row r="25" spans="1:20" x14ac:dyDescent="0.2">
      <c r="A25" s="76"/>
      <c r="F25" s="35" t="str">
        <f>IF(B18="NOT POSSIBLE","NOT POSSIBLE",($B$6/(1000*E55))^2*100)</f>
        <v>NOT POSSIBLE</v>
      </c>
      <c r="J25" s="23"/>
      <c r="L25" s="24"/>
      <c r="N25" s="58"/>
      <c r="T25" s="23"/>
    </row>
    <row r="26" spans="1:20" x14ac:dyDescent="0.2">
      <c r="A26" s="76"/>
      <c r="F26" s="35" t="str">
        <f>IF(B19="NOT POSSIBLE","NOT POSSIBLE",($B$6/(1000*E56))^2*100)</f>
        <v>NOT POSSIBLE</v>
      </c>
      <c r="J26" s="23"/>
      <c r="L26" s="24"/>
      <c r="N26" s="58"/>
      <c r="T26" s="23"/>
    </row>
    <row r="27" spans="1:20" x14ac:dyDescent="0.2">
      <c r="A27" s="76"/>
      <c r="F27" s="35"/>
      <c r="J27" s="23"/>
      <c r="L27" s="24"/>
      <c r="N27" s="58"/>
      <c r="T27" s="23"/>
    </row>
    <row r="28" spans="1:20" x14ac:dyDescent="0.2">
      <c r="A28" s="76"/>
      <c r="F28" s="35"/>
      <c r="J28" s="23"/>
      <c r="L28" s="24"/>
      <c r="N28" s="58"/>
      <c r="T28" s="23"/>
    </row>
    <row r="29" spans="1:20" x14ac:dyDescent="0.2">
      <c r="A29" s="76"/>
      <c r="D29">
        <v>2</v>
      </c>
      <c r="F29" s="35"/>
      <c r="J29" s="23"/>
      <c r="L29" s="24"/>
      <c r="N29" s="58"/>
      <c r="T29" s="23"/>
    </row>
    <row r="30" spans="1:20" x14ac:dyDescent="0.2">
      <c r="A30" s="76"/>
      <c r="F30" s="35"/>
      <c r="J30" s="23"/>
      <c r="L30" s="24"/>
      <c r="N30" s="58"/>
      <c r="T30" s="23"/>
    </row>
    <row r="31" spans="1:20" ht="13.5" thickBot="1" x14ac:dyDescent="0.25">
      <c r="A31" s="29"/>
      <c r="F31" s="35"/>
      <c r="J31" s="23"/>
      <c r="L31" s="24"/>
      <c r="N31" s="58"/>
      <c r="T31" s="23"/>
    </row>
    <row r="32" spans="1:20" ht="13.5" thickTop="1" x14ac:dyDescent="0.2">
      <c r="A32" s="886" t="s">
        <v>154</v>
      </c>
      <c r="B32" s="917" t="s">
        <v>124</v>
      </c>
      <c r="C32" s="918"/>
      <c r="D32" s="924" t="s">
        <v>125</v>
      </c>
      <c r="E32" s="924"/>
      <c r="F32" s="924"/>
      <c r="G32" s="924"/>
      <c r="H32" s="919" t="s">
        <v>126</v>
      </c>
      <c r="I32" s="920"/>
      <c r="J32" s="921"/>
      <c r="L32" s="24"/>
      <c r="N32" s="58"/>
      <c r="T32" s="23"/>
    </row>
    <row r="33" spans="1:20" ht="12.75" customHeight="1" x14ac:dyDescent="0.2">
      <c r="A33" s="925"/>
      <c r="B33" s="114" t="s">
        <v>127</v>
      </c>
      <c r="C33" s="115" t="s">
        <v>128</v>
      </c>
      <c r="D33" s="116" t="s">
        <v>127</v>
      </c>
      <c r="E33" s="74"/>
      <c r="F33" s="77"/>
      <c r="G33" s="117" t="s">
        <v>128</v>
      </c>
      <c r="H33" s="118" t="s">
        <v>129</v>
      </c>
      <c r="I33" s="78" t="s">
        <v>127</v>
      </c>
      <c r="J33" s="36" t="s">
        <v>128</v>
      </c>
      <c r="L33" s="24"/>
      <c r="N33" s="58"/>
      <c r="T33" s="23"/>
    </row>
    <row r="34" spans="1:20" x14ac:dyDescent="0.2">
      <c r="A34" s="79" t="s">
        <v>141</v>
      </c>
      <c r="B34" s="114" t="s">
        <v>31</v>
      </c>
      <c r="C34" s="119" t="s">
        <v>40</v>
      </c>
      <c r="D34" s="116" t="s">
        <v>74</v>
      </c>
      <c r="E34" s="72"/>
      <c r="F34" s="72"/>
      <c r="G34" s="120" t="s">
        <v>75</v>
      </c>
      <c r="H34" s="121" t="s">
        <v>130</v>
      </c>
      <c r="I34" s="78" t="s">
        <v>31</v>
      </c>
      <c r="J34" s="36" t="s">
        <v>142</v>
      </c>
      <c r="L34" s="24"/>
      <c r="N34" s="58"/>
      <c r="T34" s="23"/>
    </row>
    <row r="35" spans="1:20" x14ac:dyDescent="0.2">
      <c r="A35" s="79" t="s">
        <v>155</v>
      </c>
      <c r="B35" s="114" t="s">
        <v>32</v>
      </c>
      <c r="C35" s="119" t="s">
        <v>41</v>
      </c>
      <c r="D35" s="116" t="s">
        <v>77</v>
      </c>
      <c r="E35" s="72"/>
      <c r="F35" s="72"/>
      <c r="G35" s="120" t="s">
        <v>78</v>
      </c>
      <c r="H35" s="121" t="s">
        <v>163</v>
      </c>
      <c r="I35" s="78" t="s">
        <v>160</v>
      </c>
      <c r="J35" s="36" t="s">
        <v>158</v>
      </c>
      <c r="L35" s="24"/>
      <c r="N35" s="58"/>
      <c r="T35" s="23"/>
    </row>
    <row r="36" spans="1:20" x14ac:dyDescent="0.2">
      <c r="A36" s="79" t="s">
        <v>143</v>
      </c>
      <c r="B36" s="114" t="s">
        <v>33</v>
      </c>
      <c r="C36" s="119" t="s">
        <v>40</v>
      </c>
      <c r="D36" s="116" t="s">
        <v>80</v>
      </c>
      <c r="E36" s="72"/>
      <c r="F36" s="72"/>
      <c r="G36" s="120" t="s">
        <v>81</v>
      </c>
      <c r="H36" s="121" t="s">
        <v>130</v>
      </c>
      <c r="I36" s="78" t="s">
        <v>33</v>
      </c>
      <c r="J36" s="36" t="s">
        <v>142</v>
      </c>
      <c r="L36" s="24"/>
      <c r="N36" s="58"/>
      <c r="T36" s="23"/>
    </row>
    <row r="37" spans="1:20" x14ac:dyDescent="0.2">
      <c r="A37" s="79" t="s">
        <v>156</v>
      </c>
      <c r="B37" s="114" t="s">
        <v>34</v>
      </c>
      <c r="C37" s="119" t="s">
        <v>41</v>
      </c>
      <c r="D37" s="116" t="s">
        <v>83</v>
      </c>
      <c r="E37" s="72"/>
      <c r="F37" s="72"/>
      <c r="G37" s="120" t="s">
        <v>84</v>
      </c>
      <c r="H37" s="121" t="s">
        <v>163</v>
      </c>
      <c r="I37" s="78" t="s">
        <v>161</v>
      </c>
      <c r="J37" s="36" t="s">
        <v>159</v>
      </c>
      <c r="L37" s="24"/>
      <c r="N37" s="58"/>
      <c r="T37" s="23"/>
    </row>
    <row r="38" spans="1:20" x14ac:dyDescent="0.2">
      <c r="A38" s="79" t="s">
        <v>144</v>
      </c>
      <c r="B38" s="114" t="s">
        <v>35</v>
      </c>
      <c r="C38" s="119" t="s">
        <v>40</v>
      </c>
      <c r="D38" s="116" t="s">
        <v>86</v>
      </c>
      <c r="E38" s="72"/>
      <c r="F38" s="72"/>
      <c r="G38" s="120" t="s">
        <v>81</v>
      </c>
      <c r="H38" s="121" t="s">
        <v>130</v>
      </c>
      <c r="I38" s="78" t="s">
        <v>145</v>
      </c>
      <c r="J38" s="36" t="s">
        <v>146</v>
      </c>
      <c r="L38" s="24"/>
      <c r="N38" s="58"/>
      <c r="T38" s="23"/>
    </row>
    <row r="39" spans="1:20" x14ac:dyDescent="0.2">
      <c r="A39" s="79" t="s">
        <v>157</v>
      </c>
      <c r="B39" s="114" t="s">
        <v>36</v>
      </c>
      <c r="C39" s="119" t="s">
        <v>41</v>
      </c>
      <c r="D39" s="116" t="s">
        <v>88</v>
      </c>
      <c r="E39" s="72"/>
      <c r="F39" s="72"/>
      <c r="G39" s="120" t="s">
        <v>84</v>
      </c>
      <c r="H39" s="121" t="s">
        <v>163</v>
      </c>
      <c r="I39" s="78" t="s">
        <v>162</v>
      </c>
      <c r="J39" s="36" t="s">
        <v>158</v>
      </c>
      <c r="L39" s="24"/>
      <c r="N39" s="58"/>
      <c r="T39" s="23"/>
    </row>
    <row r="40" spans="1:20" x14ac:dyDescent="0.2">
      <c r="A40" s="79" t="s">
        <v>147</v>
      </c>
      <c r="B40" s="114" t="s">
        <v>37</v>
      </c>
      <c r="C40" s="119" t="s">
        <v>41</v>
      </c>
      <c r="D40" s="116" t="s">
        <v>90</v>
      </c>
      <c r="E40" s="72"/>
      <c r="F40" s="72"/>
      <c r="G40" s="120" t="s">
        <v>91</v>
      </c>
      <c r="H40" s="121" t="s">
        <v>131</v>
      </c>
      <c r="I40" s="78" t="s">
        <v>132</v>
      </c>
      <c r="J40" s="36" t="s">
        <v>133</v>
      </c>
      <c r="L40" s="24"/>
      <c r="N40" s="58"/>
      <c r="T40" s="23"/>
    </row>
    <row r="41" spans="1:20" x14ac:dyDescent="0.2">
      <c r="A41" s="79" t="s">
        <v>148</v>
      </c>
      <c r="B41" s="114" t="s">
        <v>38</v>
      </c>
      <c r="C41" s="119" t="s">
        <v>41</v>
      </c>
      <c r="D41" s="116" t="s">
        <v>93</v>
      </c>
      <c r="E41" s="72"/>
      <c r="F41" s="72"/>
      <c r="G41" s="120" t="s">
        <v>94</v>
      </c>
      <c r="H41" s="121" t="s">
        <v>131</v>
      </c>
      <c r="I41" s="78" t="s">
        <v>134</v>
      </c>
      <c r="J41" s="36" t="s">
        <v>136</v>
      </c>
      <c r="L41" s="24"/>
      <c r="O41" s="28"/>
      <c r="T41" s="23"/>
    </row>
    <row r="42" spans="1:20" ht="13.5" thickBot="1" x14ac:dyDescent="0.25">
      <c r="A42" s="80" t="s">
        <v>149</v>
      </c>
      <c r="B42" s="122" t="s">
        <v>39</v>
      </c>
      <c r="C42" s="123" t="s">
        <v>41</v>
      </c>
      <c r="D42" s="124" t="s">
        <v>96</v>
      </c>
      <c r="E42" s="72"/>
      <c r="F42" s="72"/>
      <c r="G42" s="125" t="s">
        <v>97</v>
      </c>
      <c r="H42" s="126" t="s">
        <v>131</v>
      </c>
      <c r="I42" s="81" t="s">
        <v>135</v>
      </c>
      <c r="J42" s="82" t="s">
        <v>150</v>
      </c>
      <c r="L42" s="29" t="s">
        <v>28</v>
      </c>
      <c r="M42" s="30"/>
      <c r="N42" s="30"/>
      <c r="O42" s="30"/>
      <c r="P42" s="30"/>
      <c r="Q42" s="30"/>
      <c r="R42" s="30"/>
      <c r="S42" s="30"/>
      <c r="T42" s="31"/>
    </row>
    <row r="43" spans="1:20" ht="10.5" customHeight="1" thickTop="1" x14ac:dyDescent="0.2"/>
    <row r="44" spans="1:20" hidden="1" x14ac:dyDescent="0.2"/>
    <row r="45" spans="1:20" s="4" customFormat="1" ht="31.5" hidden="1" customHeight="1" x14ac:dyDescent="0.4">
      <c r="A45" s="882" t="s">
        <v>11</v>
      </c>
      <c r="B45" s="883"/>
      <c r="C45" s="883"/>
      <c r="D45" s="883"/>
      <c r="E45" s="883"/>
      <c r="F45" s="883"/>
      <c r="G45" s="883"/>
      <c r="H45" s="883"/>
      <c r="I45" s="883"/>
      <c r="J45" s="883"/>
      <c r="K45" s="6"/>
      <c r="L45" s="882" t="s">
        <v>11</v>
      </c>
      <c r="M45" s="883"/>
      <c r="N45" s="883"/>
      <c r="O45" s="883"/>
      <c r="P45" s="883"/>
      <c r="Q45" s="883"/>
      <c r="R45" s="883"/>
      <c r="S45" s="883"/>
      <c r="T45" s="883"/>
    </row>
    <row r="46" spans="1:20" ht="13.5" hidden="1" thickBot="1" x14ac:dyDescent="0.25"/>
    <row r="47" spans="1:20" ht="13.5" hidden="1" thickTop="1" x14ac:dyDescent="0.2">
      <c r="A47" s="9" t="s">
        <v>0</v>
      </c>
      <c r="B47" s="10" t="s">
        <v>1</v>
      </c>
      <c r="C47" s="10" t="s">
        <v>2</v>
      </c>
      <c r="D47" s="10" t="s">
        <v>3</v>
      </c>
      <c r="E47" s="10" t="s">
        <v>8</v>
      </c>
      <c r="F47" s="10" t="s">
        <v>4</v>
      </c>
      <c r="G47" s="10" t="s">
        <v>5</v>
      </c>
      <c r="H47" s="10"/>
      <c r="I47" s="11" t="s">
        <v>6</v>
      </c>
      <c r="J47" s="12" t="s">
        <v>7</v>
      </c>
      <c r="L47" s="9" t="s">
        <v>0</v>
      </c>
      <c r="M47" s="10" t="s">
        <v>1</v>
      </c>
      <c r="N47" s="10" t="s">
        <v>2</v>
      </c>
      <c r="O47" s="10" t="s">
        <v>3</v>
      </c>
      <c r="P47" s="10" t="s">
        <v>8</v>
      </c>
      <c r="Q47" s="10" t="s">
        <v>4</v>
      </c>
      <c r="R47" s="10" t="s">
        <v>5</v>
      </c>
      <c r="S47" s="11" t="s">
        <v>6</v>
      </c>
      <c r="T47" s="12" t="s">
        <v>7</v>
      </c>
    </row>
    <row r="48" spans="1:20" hidden="1" x14ac:dyDescent="0.2">
      <c r="A48" s="83" t="s">
        <v>12</v>
      </c>
      <c r="B48" s="84">
        <v>5</v>
      </c>
      <c r="C48" s="85">
        <v>494.76</v>
      </c>
      <c r="D48" s="86">
        <v>0.5575</v>
      </c>
      <c r="E48" s="87">
        <v>3.6</v>
      </c>
      <c r="F48" s="88">
        <v>50</v>
      </c>
      <c r="G48" s="89">
        <v>600</v>
      </c>
      <c r="H48" s="89"/>
      <c r="I48" s="90" t="str">
        <f t="shared" ref="I48:I56" si="0">IF($B$6&lt;=F48-1,"UDEN FOR OMRÅDET",IF($B$6&gt;=G48+1,"UDEN FOR OMRÅDET",$B$6))</f>
        <v>UDEN FOR OMRÅDET</v>
      </c>
      <c r="J48" s="91">
        <f>IF($B$5&lt;=4,"UDEN FOR OMRÅDET",IF($B$5&gt;=31,"UDEN FOR OMRÅDET",$B$5))</f>
        <v>10</v>
      </c>
      <c r="L48" s="13" t="s">
        <v>73</v>
      </c>
      <c r="M48" s="7"/>
      <c r="N48" s="59"/>
      <c r="O48" s="60"/>
      <c r="P48" s="61">
        <v>2.2000000000000002</v>
      </c>
      <c r="Q48" s="38">
        <v>25</v>
      </c>
      <c r="R48" s="1">
        <v>804</v>
      </c>
      <c r="S48" s="2" t="str">
        <f t="shared" ref="S48:S56" si="1">IF($B$6&lt;=Q48-1,"UDEN FOR OMRÅDET",IF($B$6&gt;=R48+1,"UDEN FOR OMRÅDET",$B$6))</f>
        <v>UDEN FOR OMRÅDET</v>
      </c>
      <c r="T48" s="14">
        <f>IF(M5&lt;=7,"UDEN FOR OMRÅDET",IF(M5&gt;=401,"UDEN FOR OMRÅDET",M5))</f>
        <v>20</v>
      </c>
    </row>
    <row r="49" spans="1:20" hidden="1" x14ac:dyDescent="0.2">
      <c r="A49" s="13" t="s">
        <v>13</v>
      </c>
      <c r="B49" s="7">
        <v>20</v>
      </c>
      <c r="C49" s="43">
        <v>747.59</v>
      </c>
      <c r="D49" s="44">
        <v>0.31330000000000002</v>
      </c>
      <c r="E49" s="92">
        <v>3.6</v>
      </c>
      <c r="F49" s="38">
        <v>100</v>
      </c>
      <c r="G49" s="1">
        <v>1200</v>
      </c>
      <c r="H49" s="1"/>
      <c r="I49" s="2">
        <f t="shared" si="0"/>
        <v>1200</v>
      </c>
      <c r="J49" s="14" t="str">
        <f>IF($B$5&lt;=19,"UDEN FOR OMRÅDET",IF($B$5&gt;=61,"UDEN FOR OMRÅDET",$B$5))</f>
        <v>UDEN FOR OMRÅDET</v>
      </c>
      <c r="L49" s="13" t="s">
        <v>76</v>
      </c>
      <c r="M49" s="7"/>
      <c r="N49" s="59"/>
      <c r="O49" s="60"/>
      <c r="P49" s="61">
        <v>2.4</v>
      </c>
      <c r="Q49" s="38">
        <v>40</v>
      </c>
      <c r="R49" s="1">
        <v>1100</v>
      </c>
      <c r="S49" s="2" t="str">
        <f t="shared" si="1"/>
        <v>UDEN FOR OMRÅDET</v>
      </c>
      <c r="T49" s="14">
        <f>IF(M5&lt;=15,"UDEN FOR OMRÅDET",IF(M5&gt;=401,"UDEN FOR OMRÅDET",M5))</f>
        <v>20</v>
      </c>
    </row>
    <row r="50" spans="1:20" hidden="1" x14ac:dyDescent="0.2">
      <c r="A50" s="83" t="s">
        <v>14</v>
      </c>
      <c r="B50" s="84">
        <v>5</v>
      </c>
      <c r="C50" s="85">
        <v>682.82</v>
      </c>
      <c r="D50" s="86">
        <v>0.59</v>
      </c>
      <c r="E50" s="84">
        <v>4</v>
      </c>
      <c r="F50" s="88">
        <v>100</v>
      </c>
      <c r="G50" s="89">
        <v>1000</v>
      </c>
      <c r="H50" s="89"/>
      <c r="I50" s="90" t="str">
        <f t="shared" si="0"/>
        <v>UDEN FOR OMRÅDET</v>
      </c>
      <c r="J50" s="91">
        <f>IF($B$5&lt;=4,"UDEN FOR OMRÅDET",IF($B$5&gt;=31,"UDEN FOR OMRÅDET",$B$5))</f>
        <v>10</v>
      </c>
      <c r="L50" s="13" t="s">
        <v>79</v>
      </c>
      <c r="M50" s="7"/>
      <c r="N50" s="59"/>
      <c r="O50" s="60"/>
      <c r="P50" s="61">
        <v>3.3</v>
      </c>
      <c r="Q50" s="38">
        <v>41</v>
      </c>
      <c r="R50" s="1">
        <v>1265</v>
      </c>
      <c r="S50" s="2">
        <f t="shared" si="1"/>
        <v>1200</v>
      </c>
      <c r="T50" s="14">
        <f>IF(M5&lt;=8,"UDEN FOR OMRÅDET",IF(M5&gt;=401,"UDEN FOR OMRÅDET",M5))</f>
        <v>20</v>
      </c>
    </row>
    <row r="51" spans="1:20" hidden="1" x14ac:dyDescent="0.2">
      <c r="A51" s="13" t="s">
        <v>15</v>
      </c>
      <c r="B51" s="7">
        <v>20</v>
      </c>
      <c r="C51" s="43">
        <v>596.44000000000005</v>
      </c>
      <c r="D51" s="44">
        <v>0.32400000000000001</v>
      </c>
      <c r="E51" s="7">
        <v>4</v>
      </c>
      <c r="F51" s="38">
        <v>150</v>
      </c>
      <c r="G51" s="1">
        <v>2000</v>
      </c>
      <c r="H51" s="1"/>
      <c r="I51" s="2">
        <f t="shared" si="0"/>
        <v>1200</v>
      </c>
      <c r="J51" s="14" t="str">
        <f>IF($B$5&lt;=19,"UDEN FOR OMRÅDET",IF($B$5&gt;=61,"UDEN FOR OMRÅDET",$B$5))</f>
        <v>UDEN FOR OMRÅDET</v>
      </c>
      <c r="L51" s="13" t="s">
        <v>82</v>
      </c>
      <c r="M51" s="7"/>
      <c r="N51" s="59"/>
      <c r="O51" s="60"/>
      <c r="P51" s="61">
        <v>3.6</v>
      </c>
      <c r="Q51" s="38">
        <v>66</v>
      </c>
      <c r="R51" s="1">
        <v>1850</v>
      </c>
      <c r="S51" s="2">
        <f t="shared" si="1"/>
        <v>1200</v>
      </c>
      <c r="T51" s="14">
        <f>IF(M5&lt;=11,"UDEN FOR OMRÅDET",IF(M5&gt;=401,"UDEN FOR OMRÅDET",M5))</f>
        <v>20</v>
      </c>
    </row>
    <row r="52" spans="1:20" hidden="1" x14ac:dyDescent="0.2">
      <c r="A52" s="83" t="s">
        <v>16</v>
      </c>
      <c r="B52" s="84">
        <v>5</v>
      </c>
      <c r="C52" s="85">
        <v>802.65</v>
      </c>
      <c r="D52" s="86">
        <v>1.26</v>
      </c>
      <c r="E52" s="84">
        <v>9.5</v>
      </c>
      <c r="F52" s="88">
        <v>600</v>
      </c>
      <c r="G52" s="89">
        <v>2500</v>
      </c>
      <c r="H52" s="89"/>
      <c r="I52" s="90">
        <f t="shared" si="0"/>
        <v>1200</v>
      </c>
      <c r="J52" s="91">
        <f>IF($B$5&lt;=4,"UDEN FOR OMRÅDET",IF($B$5&gt;=31,"UDEN FOR OMRÅDET",$B$5))</f>
        <v>10</v>
      </c>
      <c r="L52" s="13" t="s">
        <v>85</v>
      </c>
      <c r="M52" s="7"/>
      <c r="N52" s="59"/>
      <c r="O52" s="60"/>
      <c r="P52" s="61">
        <v>4.0999999999999996</v>
      </c>
      <c r="Q52" s="38">
        <v>61</v>
      </c>
      <c r="R52" s="1">
        <v>1663</v>
      </c>
      <c r="S52" s="2">
        <f t="shared" si="1"/>
        <v>1200</v>
      </c>
      <c r="T52" s="14">
        <f>IF(M5&lt;=8,"UDEN FOR OMRÅDET",IF(M5&gt;=401,"UDEN FOR OMRÅDET",M5))</f>
        <v>20</v>
      </c>
    </row>
    <row r="53" spans="1:20" hidden="1" x14ac:dyDescent="0.2">
      <c r="A53" s="13" t="s">
        <v>17</v>
      </c>
      <c r="B53" s="7">
        <v>20</v>
      </c>
      <c r="C53" s="43">
        <v>1529.6</v>
      </c>
      <c r="D53" s="44">
        <v>0.71750000000000003</v>
      </c>
      <c r="E53" s="93">
        <v>9.5</v>
      </c>
      <c r="F53" s="38">
        <v>700</v>
      </c>
      <c r="G53" s="1">
        <v>4200</v>
      </c>
      <c r="H53" s="1"/>
      <c r="I53" s="2">
        <f t="shared" si="0"/>
        <v>1200</v>
      </c>
      <c r="J53" s="14" t="str">
        <f>IF($B$5&lt;=19,"UDEN FOR OMRÅDET",IF($B$5&gt;=61,"UDEN FOR OMRÅDET",$B$5))</f>
        <v>UDEN FOR OMRÅDET</v>
      </c>
      <c r="L53" s="13" t="s">
        <v>87</v>
      </c>
      <c r="M53" s="7"/>
      <c r="N53" s="59"/>
      <c r="O53" s="60"/>
      <c r="P53" s="61">
        <v>4.4000000000000004</v>
      </c>
      <c r="Q53" s="38">
        <v>89</v>
      </c>
      <c r="R53" s="1">
        <v>2350</v>
      </c>
      <c r="S53" s="2">
        <f t="shared" si="1"/>
        <v>1200</v>
      </c>
      <c r="T53" s="14">
        <f>IF(M5&lt;=11,"UDEN FOR OMRÅDET",IF(M5&gt;=401,"UDEN FOR OMRÅDET",M5))</f>
        <v>20</v>
      </c>
    </row>
    <row r="54" spans="1:20" hidden="1" x14ac:dyDescent="0.2">
      <c r="A54" s="83" t="s">
        <v>18</v>
      </c>
      <c r="B54" s="84">
        <v>20</v>
      </c>
      <c r="C54" s="85">
        <v>1338.84</v>
      </c>
      <c r="D54" s="86">
        <v>0.48330000000000001</v>
      </c>
      <c r="E54" s="84">
        <v>11.4</v>
      </c>
      <c r="F54" s="88">
        <v>1000</v>
      </c>
      <c r="G54" s="89">
        <v>4800</v>
      </c>
      <c r="H54" s="89"/>
      <c r="I54" s="90">
        <f t="shared" si="0"/>
        <v>1200</v>
      </c>
      <c r="J54" s="91" t="str">
        <f>IF($B$5&lt;=19,"UDEN FOR OMRÅDET",IF($B$5&gt;=81,"UDEN FOR OMRÅDET",$B$5))</f>
        <v>UDEN FOR OMRÅDET</v>
      </c>
      <c r="L54" s="13" t="s">
        <v>89</v>
      </c>
      <c r="M54" s="7"/>
      <c r="N54" s="59"/>
      <c r="O54" s="60"/>
      <c r="P54" s="61">
        <v>8.8000000000000007</v>
      </c>
      <c r="Q54" s="38">
        <v>217</v>
      </c>
      <c r="R54" s="1">
        <v>4800</v>
      </c>
      <c r="S54" s="2">
        <f t="shared" si="1"/>
        <v>1200</v>
      </c>
      <c r="T54" s="14">
        <f>IF(M5&lt;=13,"UDEN FOR OMRÅDET",IF(M5&gt;=401,"UDEN FOR OMRÅDET",M5))</f>
        <v>20</v>
      </c>
    </row>
    <row r="55" spans="1:20" hidden="1" x14ac:dyDescent="0.2">
      <c r="A55" s="83" t="s">
        <v>19</v>
      </c>
      <c r="B55" s="84">
        <v>20</v>
      </c>
      <c r="C55" s="94">
        <v>2213.08</v>
      </c>
      <c r="D55" s="95">
        <v>0.4133</v>
      </c>
      <c r="E55" s="90">
        <v>16.399999999999999</v>
      </c>
      <c r="F55" s="90">
        <v>3000</v>
      </c>
      <c r="G55" s="90">
        <v>7450</v>
      </c>
      <c r="H55" s="96"/>
      <c r="I55" s="90" t="str">
        <f t="shared" si="0"/>
        <v>UDEN FOR OMRÅDET</v>
      </c>
      <c r="J55" s="91" t="str">
        <f>IF($B$5&lt;=19,"UDEN FOR OMRÅDET",IF($B$5&gt;=81,"UDEN FOR OMRÅDET",$B$5))</f>
        <v>UDEN FOR OMRÅDET</v>
      </c>
      <c r="L55" s="13" t="s">
        <v>92</v>
      </c>
      <c r="M55" s="7"/>
      <c r="N55" s="62"/>
      <c r="O55" s="63"/>
      <c r="P55" s="64">
        <v>13.2</v>
      </c>
      <c r="Q55" s="2">
        <v>175</v>
      </c>
      <c r="R55" s="2">
        <v>7450</v>
      </c>
      <c r="S55" s="2">
        <f t="shared" si="1"/>
        <v>1200</v>
      </c>
      <c r="T55" s="14">
        <f>IF(M5&lt;=14,"UDEN FOR OMRÅDET",IF(M5&gt;=401,"UDEN FOR OMRÅDET",M5))</f>
        <v>20</v>
      </c>
    </row>
    <row r="56" spans="1:20" ht="13.5" hidden="1" thickBot="1" x14ac:dyDescent="0.25">
      <c r="A56" s="97" t="s">
        <v>20</v>
      </c>
      <c r="B56" s="84">
        <v>20</v>
      </c>
      <c r="C56" s="98">
        <v>2234.42</v>
      </c>
      <c r="D56" s="99">
        <v>0.35199999999999998</v>
      </c>
      <c r="E56" s="100">
        <v>17.899999999999999</v>
      </c>
      <c r="F56" s="100">
        <v>5000</v>
      </c>
      <c r="G56" s="100">
        <v>10350</v>
      </c>
      <c r="H56" s="101"/>
      <c r="I56" s="100" t="str">
        <f t="shared" si="0"/>
        <v>UDEN FOR OMRÅDET</v>
      </c>
      <c r="J56" s="102" t="str">
        <f>IF($B$5&lt;=19,"UDEN FOR OMRÅDET",IF($B$5&gt;=81,"UDEN FOR OMRÅDET",$B$5))</f>
        <v>UDEN FOR OMRÅDET</v>
      </c>
      <c r="L56" s="15" t="s">
        <v>95</v>
      </c>
      <c r="M56" s="39"/>
      <c r="N56" s="65"/>
      <c r="O56" s="66"/>
      <c r="P56" s="67">
        <v>16.7</v>
      </c>
      <c r="Q56" s="17">
        <v>440</v>
      </c>
      <c r="R56" s="17">
        <v>10350</v>
      </c>
      <c r="S56" s="17">
        <f t="shared" si="1"/>
        <v>1200</v>
      </c>
      <c r="T56" s="18">
        <f>IF(M5&lt;=16,"UDEN FOR OMRÅDET",IF(M5&gt;=401,"UDEN FOR OMRÅDET",M5))</f>
        <v>20</v>
      </c>
    </row>
    <row r="57" spans="1:20" ht="13.5" hidden="1" thickTop="1" x14ac:dyDescent="0.2">
      <c r="A57" s="8"/>
    </row>
    <row r="58" spans="1:20" hidden="1" x14ac:dyDescent="0.2"/>
    <row r="59" spans="1:20" hidden="1" x14ac:dyDescent="0.2"/>
    <row r="62" spans="1:20" x14ac:dyDescent="0.2">
      <c r="I62" s="103"/>
    </row>
  </sheetData>
  <sheetProtection sheet="1" objects="1" scenarios="1"/>
  <mergeCells count="15">
    <mergeCell ref="L1:T1"/>
    <mergeCell ref="L2:T2"/>
    <mergeCell ref="L45:T45"/>
    <mergeCell ref="C9:F9"/>
    <mergeCell ref="A45:J45"/>
    <mergeCell ref="A9:B9"/>
    <mergeCell ref="A1:J1"/>
    <mergeCell ref="A2:J2"/>
    <mergeCell ref="B32:C32"/>
    <mergeCell ref="H32:J32"/>
    <mergeCell ref="A21:B21"/>
    <mergeCell ref="D32:G32"/>
    <mergeCell ref="A32:A33"/>
    <mergeCell ref="A8:B8"/>
    <mergeCell ref="C8:D8"/>
  </mergeCells>
  <phoneticPr fontId="0" type="noConversion"/>
  <pageMargins left="0.78740157480314965" right="0.11811023622047245" top="0.31496062992125984" bottom="0.19685039370078741" header="0.51181102362204722" footer="0.51181102362204722"/>
  <pageSetup paperSize="9" orientation="landscape" r:id="rId1"/>
  <headerFooter alignWithMargins="0"/>
  <ignoredErrors>
    <ignoredError sqref="H38 H34 H36" twoDigitTextYea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22</vt:i4>
      </vt:variant>
      <vt:variant>
        <vt:lpstr>Navngivne områder</vt:lpstr>
      </vt:variant>
      <vt:variant>
        <vt:i4>12</vt:i4>
      </vt:variant>
    </vt:vector>
  </HeadingPairs>
  <TitlesOfParts>
    <vt:vector size="34" baseType="lpstr">
      <vt:lpstr>Frese S</vt:lpstr>
      <vt:lpstr>SIGMA Compact</vt:lpstr>
      <vt:lpstr>SIGMA Compact Flange</vt:lpstr>
      <vt:lpstr>Frese OPTIMA</vt:lpstr>
      <vt:lpstr>OPTIMA Compact</vt:lpstr>
      <vt:lpstr>OPTIMA Compact Flanged</vt:lpstr>
      <vt:lpstr>Frese PV</vt:lpstr>
      <vt:lpstr>PV Compact</vt:lpstr>
      <vt:lpstr>Frese PVS</vt:lpstr>
      <vt:lpstr>PV-SIGMA</vt:lpstr>
      <vt:lpstr>OPTIMA P Compact</vt:lpstr>
      <vt:lpstr>ALPHA</vt:lpstr>
      <vt:lpstr>ALPHA Wafer</vt:lpstr>
      <vt:lpstr>Frese EVA</vt:lpstr>
      <vt:lpstr>COMBIFLOW</vt:lpstr>
      <vt:lpstr>OPTIMIZER 6 way</vt:lpstr>
      <vt:lpstr>Frese STBV-VODRV</vt:lpstr>
      <vt:lpstr>Frese STBV-VODRV flanged</vt:lpstr>
      <vt:lpstr>OPTIMA Compact Veriflow FCP</vt:lpstr>
      <vt:lpstr>OPTIMA Compact Veriflow fl FCP</vt:lpstr>
      <vt:lpstr>Frese STBV-VODRV FCP</vt:lpstr>
      <vt:lpstr>Frese STBV-VODRV flanged FCP</vt:lpstr>
      <vt:lpstr>'Frese OPTIMA'!Udskriftsområde</vt:lpstr>
      <vt:lpstr>'Frese PV'!Udskriftsområde</vt:lpstr>
      <vt:lpstr>'Frese PVS'!Udskriftsområde</vt:lpstr>
      <vt:lpstr>'Frese S'!Udskriftsområde</vt:lpstr>
      <vt:lpstr>'OPTIMA Compact'!Udskriftsområde</vt:lpstr>
      <vt:lpstr>'OPTIMA Compact Flanged'!Udskriftsområde</vt:lpstr>
      <vt:lpstr>'OPTIMA Compact Veriflow FCP'!Udskriftsområde</vt:lpstr>
      <vt:lpstr>'OPTIMA Compact Veriflow fl FCP'!Udskriftsområde</vt:lpstr>
      <vt:lpstr>'PV Compact'!Udskriftsområde</vt:lpstr>
      <vt:lpstr>'PV-SIGMA'!Udskriftsområde</vt:lpstr>
      <vt:lpstr>'SIGMA Compact'!Udskriftsområde</vt:lpstr>
      <vt:lpstr>'SIGMA Compact Flange'!Udskriftsområde</vt:lpstr>
    </vt:vector>
  </TitlesOfParts>
  <Company>Frese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Johansen</dc:creator>
  <cp:lastModifiedBy>Jens Johansen</cp:lastModifiedBy>
  <cp:lastPrinted>2016-03-04T13:40:24Z</cp:lastPrinted>
  <dcterms:created xsi:type="dcterms:W3CDTF">2004-11-24T15:05:14Z</dcterms:created>
  <dcterms:modified xsi:type="dcterms:W3CDTF">2023-02-01T09:45:43Z</dcterms:modified>
</cp:coreProperties>
</file>